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ЭтаКнига" defaultThemeVersion="124226"/>
  <bookViews>
    <workbookView xWindow="0" yWindow="240" windowWidth="21576" windowHeight="7848" tabRatio="758" firstSheet="1" activeTab="1"/>
  </bookViews>
  <sheets>
    <sheet name="Бланк 2455 (ред.от 29.06.23)" sheetId="20" state="hidden" r:id="rId1"/>
    <sheet name="Форма" sheetId="1" r:id="rId2"/>
    <sheet name="Утверждено (МЗ,ИЦ,КАП)" sheetId="25" r:id="rId3"/>
    <sheet name="Утверждено (ПДД)" sheetId="3" r:id="rId4"/>
    <sheet name="Закупки1" sheetId="24" r:id="rId5"/>
    <sheet name="таблица к разделу 2" sheetId="23" r:id="rId6"/>
    <sheet name="Приложение 1" sheetId="7" state="hidden" r:id="rId7"/>
    <sheet name="Приложение 2 Доходы" sheetId="8" state="hidden" r:id="rId8"/>
    <sheet name="Приложение 3 111,119" sheetId="9" state="hidden" r:id="rId9"/>
    <sheet name="Приложение 4,5,6 расходы" sheetId="10" state="hidden" r:id="rId10"/>
    <sheet name="Приложение 7 " sheetId="13" state="hidden" r:id="rId11"/>
  </sheets>
  <externalReferences>
    <externalReference r:id="rId12"/>
  </externalReferences>
  <definedNames>
    <definedName name="_xlnm._FilterDatabase" localSheetId="9" hidden="1">'Приложение 4,5,6 расходы'!$A$11:$DM$1187</definedName>
    <definedName name="_xlnm._FilterDatabase" localSheetId="2" hidden="1">'Утверждено (МЗ,ИЦ,КАП)'!$A$4:$P$258</definedName>
    <definedName name="_xlnm._FilterDatabase" localSheetId="3" hidden="1">'Утверждено (ПДД)'!$A$12:$W$1069</definedName>
    <definedName name="_xlnm.Print_Titles" localSheetId="9">'Приложение 4,5,6 расходы'!$A:$Q,'Приложение 4,5,6 расходы'!$7:$11</definedName>
    <definedName name="_xlnm.Print_Titles" localSheetId="2">'Утверждено (МЗ,ИЦ,КАП)'!$A:$E,'Утверждено (МЗ,ИЦ,КАП)'!$2:$4</definedName>
    <definedName name="_xlnm.Print_Titles" localSheetId="3">'Утверждено (ПДД)'!$A:$D,'Утверждено (ПДД)'!$10:$11</definedName>
    <definedName name="_xlnm.Print_Area" localSheetId="0">'Бланк 2455 (ред.от 29.06.23)'!$A$2:$J$257</definedName>
    <definedName name="_xlnm.Print_Area" localSheetId="6">'Приложение 1'!$A$1:$E$32</definedName>
    <definedName name="_xlnm.Print_Area" localSheetId="7">'Приложение 2 Доходы'!$A$1:$K$127</definedName>
    <definedName name="_xlnm.Print_Area" localSheetId="8">'Приложение 3 111,119'!$A$1:$N$164</definedName>
    <definedName name="_xlnm.Print_Area" localSheetId="9">'Приложение 4,5,6 расходы'!$A$1:$V$1179</definedName>
    <definedName name="_xlnm.Print_Area" localSheetId="10">'Приложение 7 '!$A$1:$H$25</definedName>
    <definedName name="_xlnm.Print_Area" localSheetId="2">'Утверждено (МЗ,ИЦ,КАП)'!$A$1:$N$258</definedName>
    <definedName name="_xlnm.Print_Area" localSheetId="3">'Утверждено (ПДД)'!$A$9:$G$1073</definedName>
    <definedName name="_xlnm.Print_Area" localSheetId="1">Форма!$A$3:$I$295</definedName>
  </definedNames>
  <calcPr calcId="145621" fullPrecision="0"/>
</workbook>
</file>

<file path=xl/calcChain.xml><?xml version="1.0" encoding="utf-8"?>
<calcChain xmlns="http://schemas.openxmlformats.org/spreadsheetml/2006/main">
  <c r="I88" i="25" l="1"/>
  <c r="E251" i="3"/>
  <c r="E231" i="3"/>
  <c r="I17" i="25"/>
  <c r="I18" i="25"/>
  <c r="D29" i="23" l="1"/>
  <c r="D30" i="23"/>
  <c r="B29" i="23"/>
  <c r="I104" i="25" l="1"/>
  <c r="I103" i="25"/>
  <c r="I106" i="25"/>
  <c r="I110" i="25"/>
  <c r="I89" i="25"/>
  <c r="I94" i="25"/>
  <c r="I24" i="25"/>
  <c r="I25" i="25"/>
  <c r="I14" i="25"/>
  <c r="I22" i="25"/>
  <c r="F77" i="1" l="1"/>
  <c r="F76" i="1" s="1"/>
  <c r="E237" i="3" l="1"/>
  <c r="E195" i="3"/>
  <c r="I155" i="25" l="1"/>
  <c r="I154" i="25"/>
  <c r="I39" i="25" l="1"/>
  <c r="I27" i="25"/>
  <c r="I61" i="25"/>
  <c r="I107" i="25"/>
  <c r="F218" i="1" l="1"/>
  <c r="I196" i="25"/>
  <c r="I200" i="25" l="1"/>
  <c r="I132" i="25" l="1"/>
  <c r="I142" i="25"/>
  <c r="E56" i="3" l="1"/>
  <c r="E8" i="3" s="1"/>
  <c r="E178" i="3" l="1"/>
  <c r="E182" i="3"/>
  <c r="E181" i="3" l="1"/>
  <c r="E974" i="3" l="1"/>
  <c r="E897" i="3"/>
  <c r="E254" i="3"/>
  <c r="I153" i="25"/>
  <c r="I207" i="25"/>
  <c r="E49" i="3" l="1"/>
  <c r="F65" i="1" l="1"/>
  <c r="E47" i="3"/>
  <c r="E176" i="3"/>
  <c r="F153" i="25" l="1"/>
  <c r="I147" i="25" l="1"/>
  <c r="I117" i="25"/>
  <c r="I112" i="25"/>
  <c r="E876" i="3" l="1"/>
  <c r="E846" i="3"/>
  <c r="A182" i="3" l="1"/>
  <c r="E937" i="3"/>
  <c r="A175" i="3" l="1"/>
  <c r="A979" i="3"/>
  <c r="A938" i="3"/>
  <c r="H12" i="23" l="1"/>
  <c r="H7" i="23"/>
  <c r="D13" i="23"/>
  <c r="D12" i="23"/>
  <c r="B12" i="23" l="1"/>
  <c r="B7" i="23"/>
  <c r="I102" i="25" l="1"/>
  <c r="I33" i="1"/>
  <c r="W2" i="1"/>
  <c r="C33" i="1" l="1"/>
  <c r="B294" i="1" s="1"/>
  <c r="I21" i="25"/>
  <c r="G65" i="1" l="1"/>
  <c r="H65" i="1"/>
  <c r="H50" i="23" l="1"/>
  <c r="I50" i="23" s="1"/>
  <c r="H33" i="23"/>
  <c r="H16" i="23"/>
  <c r="I52" i="23"/>
  <c r="I51" i="23"/>
  <c r="G49" i="23"/>
  <c r="F49" i="23"/>
  <c r="E49" i="23"/>
  <c r="D49" i="23"/>
  <c r="C49" i="23"/>
  <c r="B49" i="23"/>
  <c r="I47" i="23"/>
  <c r="I46" i="23"/>
  <c r="I45" i="23"/>
  <c r="I44" i="23"/>
  <c r="I43" i="23"/>
  <c r="I42" i="23"/>
  <c r="H41" i="23"/>
  <c r="H48" i="23" s="1"/>
  <c r="G41" i="23"/>
  <c r="G48" i="23" s="1"/>
  <c r="F41" i="23"/>
  <c r="F48" i="23" s="1"/>
  <c r="E41" i="23"/>
  <c r="E48" i="23" s="1"/>
  <c r="D41" i="23"/>
  <c r="D48" i="23" s="1"/>
  <c r="C41" i="23"/>
  <c r="C48" i="23" s="1"/>
  <c r="B41" i="23"/>
  <c r="I40" i="23"/>
  <c r="I41" i="23" l="1"/>
  <c r="I48" i="23" s="1"/>
  <c r="H261" i="1" s="1"/>
  <c r="B48" i="23"/>
  <c r="H49" i="23"/>
  <c r="H257" i="1" s="1"/>
  <c r="E5" i="23"/>
  <c r="B5" i="23"/>
  <c r="B4" i="23"/>
  <c r="I49" i="23" l="1"/>
  <c r="G969" i="3" l="1"/>
  <c r="F969" i="3"/>
  <c r="E969" i="3"/>
  <c r="E964" i="3" s="1"/>
  <c r="F936" i="3"/>
  <c r="G936" i="3"/>
  <c r="E936" i="3"/>
  <c r="I16" i="23" l="1"/>
  <c r="F257" i="1" l="1"/>
  <c r="E16" i="3"/>
  <c r="E216" i="3"/>
  <c r="E215" i="3"/>
  <c r="E86" i="3"/>
  <c r="F115" i="1" s="1"/>
  <c r="E171" i="3"/>
  <c r="E81" i="3" s="1"/>
  <c r="C966" i="3"/>
  <c r="A962" i="3"/>
  <c r="A937" i="3"/>
  <c r="F181" i="3"/>
  <c r="G181" i="3"/>
  <c r="F171" i="3"/>
  <c r="G171" i="3"/>
  <c r="F86" i="3"/>
  <c r="G86" i="3"/>
  <c r="F81" i="3"/>
  <c r="G81" i="3"/>
  <c r="F91" i="3"/>
  <c r="G91" i="3"/>
  <c r="F92" i="3"/>
  <c r="G92" i="3"/>
  <c r="G426" i="3" l="1"/>
  <c r="E426" i="3"/>
  <c r="A5" i="3"/>
  <c r="A351" i="3"/>
  <c r="E19" i="3" l="1"/>
  <c r="K112" i="25"/>
  <c r="J112" i="25"/>
  <c r="K7" i="25"/>
  <c r="J7" i="25"/>
  <c r="I7" i="25"/>
  <c r="G92" i="1" l="1"/>
  <c r="H220" i="1" l="1"/>
  <c r="H219" i="1"/>
  <c r="H218" i="1"/>
  <c r="H129" i="1"/>
  <c r="H118" i="1"/>
  <c r="H92" i="1"/>
  <c r="H91" i="1"/>
  <c r="G220" i="1"/>
  <c r="G219" i="1"/>
  <c r="G218" i="1"/>
  <c r="G129" i="1"/>
  <c r="G118" i="1"/>
  <c r="G91" i="1"/>
  <c r="F220" i="1"/>
  <c r="F219" i="1"/>
  <c r="F129" i="1"/>
  <c r="F118" i="1"/>
  <c r="F92" i="1"/>
  <c r="F91" i="1"/>
  <c r="I135" i="25" l="1"/>
  <c r="F142" i="25"/>
  <c r="K18" i="25" l="1"/>
  <c r="F7" i="24" s="1"/>
  <c r="J18" i="25"/>
  <c r="E7" i="24" s="1"/>
  <c r="G223" i="1"/>
  <c r="H115" i="1"/>
  <c r="E774" i="3"/>
  <c r="E234" i="3"/>
  <c r="L266" i="25"/>
  <c r="K266" i="25"/>
  <c r="J266" i="25"/>
  <c r="I266" i="25"/>
  <c r="L264" i="25"/>
  <c r="L265" i="25" s="1"/>
  <c r="K264" i="25"/>
  <c r="J264" i="25"/>
  <c r="J265" i="25" s="1"/>
  <c r="I264" i="25"/>
  <c r="I265" i="25" s="1"/>
  <c r="H258" i="25"/>
  <c r="H255" i="25" s="1"/>
  <c r="G258" i="25"/>
  <c r="G255" i="25" s="1"/>
  <c r="F258" i="25"/>
  <c r="H257" i="25"/>
  <c r="G257" i="25"/>
  <c r="F257" i="25"/>
  <c r="F255" i="25" s="1"/>
  <c r="H256" i="25"/>
  <c r="G256" i="25"/>
  <c r="F256" i="25"/>
  <c r="N255" i="25"/>
  <c r="M255" i="25"/>
  <c r="L255" i="25"/>
  <c r="K255" i="25"/>
  <c r="J255" i="25"/>
  <c r="I255" i="25"/>
  <c r="H254" i="25"/>
  <c r="G254" i="25"/>
  <c r="F254" i="25"/>
  <c r="H253" i="25"/>
  <c r="G253" i="25"/>
  <c r="F253" i="25"/>
  <c r="H252" i="25"/>
  <c r="G252" i="25"/>
  <c r="F252" i="25"/>
  <c r="N251" i="25"/>
  <c r="M251" i="25"/>
  <c r="M242" i="25" s="1"/>
  <c r="L251" i="25"/>
  <c r="K251" i="25"/>
  <c r="J251" i="25"/>
  <c r="I251" i="25"/>
  <c r="H250" i="25"/>
  <c r="G250" i="25"/>
  <c r="F250" i="25"/>
  <c r="H249" i="25"/>
  <c r="G249" i="25"/>
  <c r="F249" i="25"/>
  <c r="H248" i="25"/>
  <c r="G248" i="25"/>
  <c r="F248" i="25"/>
  <c r="N247" i="25"/>
  <c r="M247" i="25"/>
  <c r="L247" i="25"/>
  <c r="K247" i="25"/>
  <c r="J247" i="25"/>
  <c r="I247" i="25"/>
  <c r="H246" i="25"/>
  <c r="H243" i="25" s="1"/>
  <c r="G246" i="25"/>
  <c r="F246" i="25"/>
  <c r="H245" i="25"/>
  <c r="G245" i="25"/>
  <c r="F245" i="25"/>
  <c r="H244" i="25"/>
  <c r="G244" i="25"/>
  <c r="F244" i="25"/>
  <c r="N243" i="25"/>
  <c r="M243" i="25"/>
  <c r="L243" i="25"/>
  <c r="K243" i="25"/>
  <c r="K242" i="25" s="1"/>
  <c r="J243" i="25"/>
  <c r="I243" i="25"/>
  <c r="I242" i="25"/>
  <c r="H241" i="25"/>
  <c r="G241" i="25"/>
  <c r="F241" i="25"/>
  <c r="H240" i="25"/>
  <c r="G240" i="25"/>
  <c r="F240" i="25"/>
  <c r="H239" i="25"/>
  <c r="G239" i="25"/>
  <c r="F239" i="25"/>
  <c r="N238" i="25"/>
  <c r="M238" i="25"/>
  <c r="L238" i="25"/>
  <c r="K238" i="25"/>
  <c r="J238" i="25"/>
  <c r="I238" i="25"/>
  <c r="H237" i="25"/>
  <c r="G237" i="25"/>
  <c r="F237" i="25"/>
  <c r="H236" i="25"/>
  <c r="G236" i="25"/>
  <c r="F236" i="25"/>
  <c r="H235" i="25"/>
  <c r="G235" i="25"/>
  <c r="F235" i="25"/>
  <c r="N234" i="25"/>
  <c r="M234" i="25"/>
  <c r="L234" i="25"/>
  <c r="K234" i="25"/>
  <c r="J234" i="25"/>
  <c r="I234" i="25"/>
  <c r="H233" i="25"/>
  <c r="G233" i="25"/>
  <c r="F233" i="25"/>
  <c r="H232" i="25"/>
  <c r="G232" i="25"/>
  <c r="F232" i="25"/>
  <c r="H231" i="25"/>
  <c r="G231" i="25"/>
  <c r="F231" i="25"/>
  <c r="H230" i="25"/>
  <c r="G230" i="25"/>
  <c r="F230" i="25"/>
  <c r="H229" i="25"/>
  <c r="G229" i="25"/>
  <c r="F229" i="25"/>
  <c r="H228" i="25"/>
  <c r="G228" i="25"/>
  <c r="F228" i="25"/>
  <c r="H227" i="25"/>
  <c r="G227" i="25"/>
  <c r="F227" i="25"/>
  <c r="H226" i="25"/>
  <c r="G226" i="25"/>
  <c r="F226" i="25"/>
  <c r="H225" i="25"/>
  <c r="G225" i="25"/>
  <c r="F225" i="25"/>
  <c r="H224" i="25"/>
  <c r="G224" i="25"/>
  <c r="F224" i="25"/>
  <c r="H223" i="25"/>
  <c r="G223" i="25"/>
  <c r="F223" i="25"/>
  <c r="H222" i="25"/>
  <c r="G222" i="25"/>
  <c r="F222" i="25"/>
  <c r="H221" i="25"/>
  <c r="G221" i="25"/>
  <c r="F221" i="25"/>
  <c r="H220" i="25"/>
  <c r="G220" i="25"/>
  <c r="F220" i="25"/>
  <c r="H219" i="25"/>
  <c r="G219" i="25"/>
  <c r="F219" i="25"/>
  <c r="H218" i="25"/>
  <c r="G218" i="25"/>
  <c r="F218" i="25"/>
  <c r="H217" i="25"/>
  <c r="G217" i="25"/>
  <c r="F217" i="25"/>
  <c r="H216" i="25"/>
  <c r="G216" i="25"/>
  <c r="F216" i="25"/>
  <c r="H215" i="25"/>
  <c r="G215" i="25"/>
  <c r="F215" i="25"/>
  <c r="N214" i="25"/>
  <c r="M214" i="25"/>
  <c r="L214" i="25"/>
  <c r="K214" i="25"/>
  <c r="J214" i="25"/>
  <c r="I214" i="25"/>
  <c r="H211" i="25"/>
  <c r="G211" i="25"/>
  <c r="F211" i="25"/>
  <c r="H210" i="25"/>
  <c r="G210" i="25"/>
  <c r="F210" i="25"/>
  <c r="H209" i="25"/>
  <c r="G209" i="25"/>
  <c r="F209" i="25"/>
  <c r="H208" i="25"/>
  <c r="G208" i="25"/>
  <c r="F208" i="25"/>
  <c r="N207" i="25"/>
  <c r="M207" i="25"/>
  <c r="L207" i="25"/>
  <c r="K207" i="25"/>
  <c r="J207" i="25"/>
  <c r="H206" i="25"/>
  <c r="H266" i="25" s="1"/>
  <c r="G206" i="25"/>
  <c r="G266" i="25" s="1"/>
  <c r="F206" i="25"/>
  <c r="F266" i="25" s="1"/>
  <c r="H205" i="25"/>
  <c r="G205" i="25"/>
  <c r="F205" i="25"/>
  <c r="H204" i="25"/>
  <c r="G204" i="25"/>
  <c r="F204" i="25"/>
  <c r="H203" i="25"/>
  <c r="G203" i="25"/>
  <c r="F203" i="25"/>
  <c r="H202" i="25"/>
  <c r="G202" i="25"/>
  <c r="G201" i="25" s="1"/>
  <c r="F202" i="25"/>
  <c r="N201" i="25"/>
  <c r="M201" i="25"/>
  <c r="L201" i="25"/>
  <c r="K201" i="25"/>
  <c r="J201" i="25"/>
  <c r="I201" i="25"/>
  <c r="H201" i="25"/>
  <c r="H200" i="25"/>
  <c r="G200" i="25"/>
  <c r="F200" i="25"/>
  <c r="H199" i="25"/>
  <c r="G199" i="25"/>
  <c r="F199" i="25"/>
  <c r="H198" i="25"/>
  <c r="G198" i="25"/>
  <c r="F198" i="25"/>
  <c r="N197" i="25"/>
  <c r="M197" i="25"/>
  <c r="L197" i="25"/>
  <c r="K197" i="25"/>
  <c r="J197" i="25"/>
  <c r="I197" i="25"/>
  <c r="H197" i="25"/>
  <c r="H195" i="25"/>
  <c r="G195" i="25"/>
  <c r="F195" i="25"/>
  <c r="H194" i="25"/>
  <c r="G194" i="25"/>
  <c r="F194" i="25"/>
  <c r="H193" i="25"/>
  <c r="G193" i="25"/>
  <c r="F193" i="25"/>
  <c r="H192" i="25"/>
  <c r="G192" i="25"/>
  <c r="F192" i="25"/>
  <c r="H191" i="25"/>
  <c r="G191" i="25"/>
  <c r="F191" i="25"/>
  <c r="H190" i="25"/>
  <c r="G190" i="25"/>
  <c r="F190" i="25"/>
  <c r="H189" i="25"/>
  <c r="G189" i="25"/>
  <c r="F189" i="25"/>
  <c r="H188" i="25"/>
  <c r="G188" i="25"/>
  <c r="F188" i="25"/>
  <c r="H187" i="25"/>
  <c r="G187" i="25"/>
  <c r="F187" i="25"/>
  <c r="H186" i="25"/>
  <c r="G186" i="25"/>
  <c r="F186" i="25"/>
  <c r="H185" i="25"/>
  <c r="G185" i="25"/>
  <c r="F185" i="25"/>
  <c r="H184" i="25"/>
  <c r="G184" i="25"/>
  <c r="F184" i="25"/>
  <c r="H183" i="25"/>
  <c r="G183" i="25"/>
  <c r="F183" i="25"/>
  <c r="H182" i="25"/>
  <c r="G182" i="25"/>
  <c r="F182" i="25"/>
  <c r="H181" i="25"/>
  <c r="G181" i="25"/>
  <c r="F181" i="25"/>
  <c r="H180" i="25"/>
  <c r="G180" i="25"/>
  <c r="F180" i="25"/>
  <c r="H179" i="25"/>
  <c r="G179" i="25"/>
  <c r="F179" i="25"/>
  <c r="H178" i="25"/>
  <c r="G178" i="25"/>
  <c r="F178" i="25"/>
  <c r="H177" i="25"/>
  <c r="G177" i="25"/>
  <c r="F177" i="25"/>
  <c r="N176" i="25"/>
  <c r="M176" i="25"/>
  <c r="L176" i="25"/>
  <c r="K176" i="25"/>
  <c r="J176" i="25"/>
  <c r="I176" i="25"/>
  <c r="H175" i="25"/>
  <c r="G175" i="25"/>
  <c r="F175" i="25"/>
  <c r="H174" i="25"/>
  <c r="G174" i="25"/>
  <c r="F174" i="25"/>
  <c r="H173" i="25"/>
  <c r="G173" i="25"/>
  <c r="F173" i="25"/>
  <c r="H172" i="25"/>
  <c r="G172" i="25"/>
  <c r="F172" i="25"/>
  <c r="H171" i="25"/>
  <c r="G171" i="25"/>
  <c r="F171" i="25"/>
  <c r="H170" i="25"/>
  <c r="G170" i="25"/>
  <c r="F170" i="25"/>
  <c r="H169" i="25"/>
  <c r="G169" i="25"/>
  <c r="F169" i="25"/>
  <c r="H168" i="25"/>
  <c r="G168" i="25"/>
  <c r="F168" i="25"/>
  <c r="H167" i="25"/>
  <c r="G167" i="25"/>
  <c r="F167" i="25"/>
  <c r="H166" i="25"/>
  <c r="G166" i="25"/>
  <c r="F166" i="25"/>
  <c r="H165" i="25"/>
  <c r="G165" i="25"/>
  <c r="F165" i="25"/>
  <c r="H164" i="25"/>
  <c r="G164" i="25"/>
  <c r="F164" i="25"/>
  <c r="H163" i="25"/>
  <c r="G163" i="25"/>
  <c r="F163" i="25"/>
  <c r="H162" i="25"/>
  <c r="G162" i="25"/>
  <c r="F162" i="25"/>
  <c r="H161" i="25"/>
  <c r="G161" i="25"/>
  <c r="F161" i="25"/>
  <c r="H160" i="25"/>
  <c r="G160" i="25"/>
  <c r="F160" i="25"/>
  <c r="H159" i="25"/>
  <c r="G159" i="25"/>
  <c r="F159" i="25"/>
  <c r="H158" i="25"/>
  <c r="G158" i="25"/>
  <c r="F158" i="25"/>
  <c r="H157" i="25"/>
  <c r="G157" i="25"/>
  <c r="F157" i="25"/>
  <c r="N156" i="25"/>
  <c r="M156" i="25"/>
  <c r="L156" i="25"/>
  <c r="K156" i="25"/>
  <c r="J156" i="25"/>
  <c r="I156" i="25"/>
  <c r="H212" i="25"/>
  <c r="G212" i="25"/>
  <c r="F212" i="25"/>
  <c r="H155" i="25"/>
  <c r="G155" i="25"/>
  <c r="F155" i="25"/>
  <c r="H154" i="25"/>
  <c r="G154" i="25"/>
  <c r="F154" i="25"/>
  <c r="K153" i="25"/>
  <c r="H153" i="25" s="1"/>
  <c r="J153" i="25"/>
  <c r="G153" i="25" s="1"/>
  <c r="H152" i="25"/>
  <c r="G152" i="25"/>
  <c r="F152" i="25"/>
  <c r="H151" i="25"/>
  <c r="G151" i="25"/>
  <c r="F151" i="25"/>
  <c r="H150" i="25"/>
  <c r="G150" i="25"/>
  <c r="F150" i="25"/>
  <c r="H149" i="25"/>
  <c r="G149" i="25"/>
  <c r="F149" i="25"/>
  <c r="H148" i="25"/>
  <c r="G148" i="25"/>
  <c r="F148" i="25"/>
  <c r="H147" i="25"/>
  <c r="G147" i="25"/>
  <c r="F147" i="25"/>
  <c r="H146" i="25"/>
  <c r="G146" i="25"/>
  <c r="F146" i="25"/>
  <c r="H145" i="25"/>
  <c r="G145" i="25"/>
  <c r="F145" i="25"/>
  <c r="H144" i="25"/>
  <c r="G144" i="25"/>
  <c r="F144" i="25"/>
  <c r="N143" i="25"/>
  <c r="M143" i="25"/>
  <c r="L143" i="25"/>
  <c r="K143" i="25"/>
  <c r="J143" i="25"/>
  <c r="I143" i="25"/>
  <c r="H142" i="25"/>
  <c r="G142" i="25"/>
  <c r="H141" i="25"/>
  <c r="G141" i="25"/>
  <c r="F141" i="25"/>
  <c r="H140" i="25"/>
  <c r="G140" i="25"/>
  <c r="F140" i="25"/>
  <c r="H139" i="25"/>
  <c r="G139" i="25"/>
  <c r="F139" i="25"/>
  <c r="H138" i="25"/>
  <c r="G138" i="25"/>
  <c r="H137" i="25"/>
  <c r="G137" i="25"/>
  <c r="F137" i="25"/>
  <c r="H136" i="25"/>
  <c r="G136" i="25"/>
  <c r="F136" i="25"/>
  <c r="N135" i="25"/>
  <c r="M135" i="25"/>
  <c r="L135" i="25"/>
  <c r="K135" i="25"/>
  <c r="J135" i="25"/>
  <c r="H134" i="25"/>
  <c r="G134" i="25"/>
  <c r="F134" i="25"/>
  <c r="H133" i="25"/>
  <c r="G133" i="25"/>
  <c r="F133" i="25"/>
  <c r="H132" i="25"/>
  <c r="G132" i="25"/>
  <c r="F132" i="25"/>
  <c r="H131" i="25"/>
  <c r="G131" i="25"/>
  <c r="F131" i="25"/>
  <c r="H130" i="25"/>
  <c r="G130" i="25"/>
  <c r="F130" i="25"/>
  <c r="H129" i="25"/>
  <c r="G129" i="25"/>
  <c r="F129" i="25"/>
  <c r="H128" i="25"/>
  <c r="G128" i="25"/>
  <c r="F128" i="25"/>
  <c r="H127" i="25"/>
  <c r="G127" i="25"/>
  <c r="F127" i="25"/>
  <c r="N126" i="25"/>
  <c r="M126" i="25"/>
  <c r="L126" i="25"/>
  <c r="K126" i="25"/>
  <c r="J126" i="25"/>
  <c r="I126" i="25"/>
  <c r="H125" i="25"/>
  <c r="G125" i="25"/>
  <c r="F125" i="25"/>
  <c r="H124" i="25"/>
  <c r="G124" i="25"/>
  <c r="F124" i="25"/>
  <c r="H123" i="25"/>
  <c r="G123" i="25"/>
  <c r="F123" i="25"/>
  <c r="H122" i="25"/>
  <c r="G122" i="25"/>
  <c r="F122" i="25"/>
  <c r="H121" i="25"/>
  <c r="G121" i="25"/>
  <c r="F121" i="25"/>
  <c r="N120" i="25"/>
  <c r="M120" i="25"/>
  <c r="L120" i="25"/>
  <c r="K120" i="25"/>
  <c r="J120" i="25"/>
  <c r="I120" i="25"/>
  <c r="H119" i="25"/>
  <c r="H118" i="25" s="1"/>
  <c r="G119" i="25"/>
  <c r="F119" i="25"/>
  <c r="N118" i="25"/>
  <c r="M118" i="25"/>
  <c r="L118" i="25"/>
  <c r="K118" i="25"/>
  <c r="J118" i="25"/>
  <c r="I118" i="25"/>
  <c r="G118" i="25"/>
  <c r="F118" i="25"/>
  <c r="H117" i="25"/>
  <c r="G117" i="25"/>
  <c r="F117" i="25"/>
  <c r="H116" i="25"/>
  <c r="G116" i="25"/>
  <c r="F116" i="25"/>
  <c r="H115" i="25"/>
  <c r="G115" i="25"/>
  <c r="F115" i="25"/>
  <c r="H114" i="25"/>
  <c r="G114" i="25"/>
  <c r="F114" i="25"/>
  <c r="H113" i="25"/>
  <c r="G113" i="25"/>
  <c r="F113" i="25"/>
  <c r="H112" i="25"/>
  <c r="F112" i="25"/>
  <c r="H110" i="25"/>
  <c r="H109" i="25" s="1"/>
  <c r="F9" i="24" s="1"/>
  <c r="G110" i="25"/>
  <c r="G109" i="25" s="1"/>
  <c r="E9" i="24" s="1"/>
  <c r="F110" i="25"/>
  <c r="F109" i="25" s="1"/>
  <c r="D9" i="24" s="1"/>
  <c r="N109" i="25"/>
  <c r="M109" i="25"/>
  <c r="L109" i="25"/>
  <c r="K109" i="25"/>
  <c r="J109" i="25"/>
  <c r="I109" i="25"/>
  <c r="H108" i="25"/>
  <c r="G108" i="25"/>
  <c r="F108" i="25"/>
  <c r="H107" i="25"/>
  <c r="G107" i="25"/>
  <c r="F107" i="25"/>
  <c r="H106" i="25"/>
  <c r="G106" i="25"/>
  <c r="F106" i="25"/>
  <c r="H105" i="25"/>
  <c r="G105" i="25"/>
  <c r="F105" i="25"/>
  <c r="H104" i="25"/>
  <c r="G104" i="25"/>
  <c r="F104" i="25"/>
  <c r="H103" i="25"/>
  <c r="G103" i="25"/>
  <c r="F103" i="25"/>
  <c r="N102" i="25"/>
  <c r="M102" i="25"/>
  <c r="L102" i="25"/>
  <c r="K102" i="25"/>
  <c r="J102" i="25"/>
  <c r="H101" i="25"/>
  <c r="G101" i="25"/>
  <c r="F101" i="25"/>
  <c r="H100" i="25"/>
  <c r="G100" i="25"/>
  <c r="F100" i="25"/>
  <c r="H99" i="25"/>
  <c r="G99" i="25"/>
  <c r="F99" i="25"/>
  <c r="H98" i="25"/>
  <c r="G98" i="25"/>
  <c r="F98" i="25"/>
  <c r="H97" i="25"/>
  <c r="G97" i="25"/>
  <c r="F97" i="25"/>
  <c r="H96" i="25"/>
  <c r="G96" i="25"/>
  <c r="F96" i="25"/>
  <c r="H95" i="25"/>
  <c r="G95" i="25"/>
  <c r="F95" i="25"/>
  <c r="H94" i="25"/>
  <c r="G94" i="25"/>
  <c r="F94" i="25"/>
  <c r="H93" i="25"/>
  <c r="G93" i="25"/>
  <c r="F93" i="25"/>
  <c r="H92" i="25"/>
  <c r="G92" i="25"/>
  <c r="F92" i="25"/>
  <c r="N91" i="25"/>
  <c r="M91" i="25"/>
  <c r="L91" i="25"/>
  <c r="L263" i="25" s="1"/>
  <c r="K91" i="25"/>
  <c r="K263" i="25" s="1"/>
  <c r="J91" i="25"/>
  <c r="J263" i="25" s="1"/>
  <c r="I91" i="25"/>
  <c r="I263" i="25" s="1"/>
  <c r="H90" i="25"/>
  <c r="G90" i="25"/>
  <c r="F90" i="25"/>
  <c r="H89" i="25"/>
  <c r="G89" i="25"/>
  <c r="F89" i="25"/>
  <c r="H88" i="25"/>
  <c r="G88" i="25"/>
  <c r="F88" i="25"/>
  <c r="H87" i="25"/>
  <c r="G87" i="25"/>
  <c r="F87" i="25"/>
  <c r="H86" i="25"/>
  <c r="G86" i="25"/>
  <c r="F86" i="25"/>
  <c r="H85" i="25"/>
  <c r="G85" i="25"/>
  <c r="F85" i="25"/>
  <c r="H84" i="25"/>
  <c r="H83" i="25" s="1"/>
  <c r="G84" i="25"/>
  <c r="G83" i="25" s="1"/>
  <c r="F84" i="25"/>
  <c r="F83" i="25" s="1"/>
  <c r="N83" i="25"/>
  <c r="M83" i="25"/>
  <c r="L83" i="25"/>
  <c r="K83" i="25"/>
  <c r="J83" i="25"/>
  <c r="I83" i="25"/>
  <c r="H82" i="25"/>
  <c r="G82" i="25"/>
  <c r="F82" i="25"/>
  <c r="H81" i="25"/>
  <c r="G81" i="25"/>
  <c r="F81" i="25"/>
  <c r="H80" i="25"/>
  <c r="G80" i="25"/>
  <c r="F80" i="25"/>
  <c r="H79" i="25"/>
  <c r="G79" i="25"/>
  <c r="F79" i="25"/>
  <c r="H78" i="25"/>
  <c r="G78" i="25"/>
  <c r="F78" i="25"/>
  <c r="H77" i="25"/>
  <c r="G77" i="25"/>
  <c r="F77" i="25"/>
  <c r="H76" i="25"/>
  <c r="G76" i="25"/>
  <c r="F76" i="25"/>
  <c r="H75" i="25"/>
  <c r="G75" i="25"/>
  <c r="F75" i="25"/>
  <c r="H74" i="25"/>
  <c r="G74" i="25"/>
  <c r="F74" i="25"/>
  <c r="H73" i="25"/>
  <c r="G73" i="25"/>
  <c r="F73" i="25"/>
  <c r="H72" i="25"/>
  <c r="G72" i="25"/>
  <c r="F72" i="25"/>
  <c r="H71" i="25"/>
  <c r="G71" i="25"/>
  <c r="F71" i="25"/>
  <c r="H70" i="25"/>
  <c r="G70" i="25"/>
  <c r="F70" i="25"/>
  <c r="H69" i="25"/>
  <c r="G69" i="25"/>
  <c r="F69" i="25"/>
  <c r="H68" i="25"/>
  <c r="G68" i="25"/>
  <c r="F68" i="25"/>
  <c r="H67" i="25"/>
  <c r="G67" i="25"/>
  <c r="F67" i="25"/>
  <c r="H66" i="25"/>
  <c r="G66" i="25"/>
  <c r="F66" i="25"/>
  <c r="H65" i="25"/>
  <c r="G65" i="25"/>
  <c r="F65" i="25"/>
  <c r="H64" i="25"/>
  <c r="G64" i="25"/>
  <c r="F64" i="25"/>
  <c r="H63" i="25"/>
  <c r="G63" i="25"/>
  <c r="F63" i="25"/>
  <c r="H62" i="25"/>
  <c r="G62" i="25"/>
  <c r="F62" i="25"/>
  <c r="H61" i="25"/>
  <c r="G61" i="25"/>
  <c r="F61" i="25"/>
  <c r="N60" i="25"/>
  <c r="M60" i="25"/>
  <c r="L60" i="25"/>
  <c r="K60" i="25"/>
  <c r="J60" i="25"/>
  <c r="I60" i="25"/>
  <c r="H59" i="25"/>
  <c r="G59" i="25"/>
  <c r="G57" i="25" s="1"/>
  <c r="F59" i="25"/>
  <c r="F57" i="25" s="1"/>
  <c r="H58" i="25"/>
  <c r="G58" i="25"/>
  <c r="F58" i="25"/>
  <c r="N57" i="25"/>
  <c r="M57" i="25"/>
  <c r="L57" i="25"/>
  <c r="K57" i="25"/>
  <c r="J57" i="25"/>
  <c r="I57" i="25"/>
  <c r="H56" i="25"/>
  <c r="G56" i="25"/>
  <c r="F56" i="25"/>
  <c r="H55" i="25"/>
  <c r="G55" i="25"/>
  <c r="F55" i="25"/>
  <c r="H54" i="25"/>
  <c r="G54" i="25"/>
  <c r="F54" i="25"/>
  <c r="H53" i="25"/>
  <c r="G53" i="25"/>
  <c r="F53" i="25"/>
  <c r="H52" i="25"/>
  <c r="G52" i="25"/>
  <c r="F52" i="25"/>
  <c r="H51" i="25"/>
  <c r="G51" i="25"/>
  <c r="F51" i="25"/>
  <c r="H50" i="25"/>
  <c r="G50" i="25"/>
  <c r="F50" i="25"/>
  <c r="H49" i="25"/>
  <c r="G49" i="25"/>
  <c r="F49" i="25"/>
  <c r="H48" i="25"/>
  <c r="G48" i="25"/>
  <c r="F48" i="25"/>
  <c r="H47" i="25"/>
  <c r="G47" i="25"/>
  <c r="F47" i="25"/>
  <c r="H46" i="25"/>
  <c r="G46" i="25"/>
  <c r="F46" i="25"/>
  <c r="H45" i="25"/>
  <c r="G45" i="25"/>
  <c r="F45" i="25"/>
  <c r="H44" i="25"/>
  <c r="G44" i="25"/>
  <c r="F44" i="25"/>
  <c r="H43" i="25"/>
  <c r="G43" i="25"/>
  <c r="F43" i="25"/>
  <c r="H42" i="25"/>
  <c r="G42" i="25"/>
  <c r="F42" i="25"/>
  <c r="H41" i="25"/>
  <c r="G41" i="25"/>
  <c r="F41" i="25"/>
  <c r="H40" i="25"/>
  <c r="G40" i="25"/>
  <c r="F40" i="25"/>
  <c r="H39" i="25"/>
  <c r="G39" i="25"/>
  <c r="F39" i="25"/>
  <c r="H38" i="25"/>
  <c r="G38" i="25"/>
  <c r="F38" i="25"/>
  <c r="H37" i="25"/>
  <c r="G37" i="25"/>
  <c r="F37" i="25"/>
  <c r="H36" i="25"/>
  <c r="G36" i="25"/>
  <c r="F36" i="25"/>
  <c r="H35" i="25"/>
  <c r="G35" i="25"/>
  <c r="F35" i="25"/>
  <c r="H34" i="25"/>
  <c r="G34" i="25"/>
  <c r="F34" i="25"/>
  <c r="H33" i="25"/>
  <c r="G33" i="25"/>
  <c r="F33" i="25"/>
  <c r="H32" i="25"/>
  <c r="G32" i="25"/>
  <c r="F32" i="25"/>
  <c r="H31" i="25"/>
  <c r="G31" i="25"/>
  <c r="F31" i="25"/>
  <c r="H30" i="25"/>
  <c r="G30" i="25"/>
  <c r="F30" i="25"/>
  <c r="H29" i="25"/>
  <c r="G29" i="25"/>
  <c r="F29" i="25"/>
  <c r="H28" i="25"/>
  <c r="G28" i="25"/>
  <c r="F28" i="25"/>
  <c r="H27" i="25"/>
  <c r="G27" i="25"/>
  <c r="F27" i="25"/>
  <c r="H26" i="25"/>
  <c r="G26" i="25"/>
  <c r="F26" i="25"/>
  <c r="H25" i="25"/>
  <c r="G25" i="25"/>
  <c r="F25" i="25"/>
  <c r="H24" i="25"/>
  <c r="G24" i="25"/>
  <c r="F24" i="25"/>
  <c r="H23" i="25"/>
  <c r="G23" i="25"/>
  <c r="F23" i="25"/>
  <c r="H22" i="25"/>
  <c r="G22" i="25"/>
  <c r="F22" i="25"/>
  <c r="N21" i="25"/>
  <c r="N6" i="25" s="1"/>
  <c r="M21" i="25"/>
  <c r="L21" i="25"/>
  <c r="K21" i="25"/>
  <c r="J21" i="25"/>
  <c r="H20" i="25"/>
  <c r="G20" i="25"/>
  <c r="F20" i="25"/>
  <c r="H19" i="25"/>
  <c r="G19" i="25"/>
  <c r="F19" i="25"/>
  <c r="F18" i="25"/>
  <c r="G18" i="25"/>
  <c r="H18" i="25"/>
  <c r="G17" i="25"/>
  <c r="H17" i="25"/>
  <c r="F17" i="25"/>
  <c r="H16" i="25"/>
  <c r="G16" i="25"/>
  <c r="F16" i="25"/>
  <c r="H15" i="25"/>
  <c r="G15" i="25"/>
  <c r="F15" i="25"/>
  <c r="H14" i="25"/>
  <c r="G14" i="25"/>
  <c r="F14" i="25"/>
  <c r="N13" i="25"/>
  <c r="M13" i="25"/>
  <c r="L13" i="25"/>
  <c r="L6" i="25" s="1"/>
  <c r="K13" i="25"/>
  <c r="J13" i="25"/>
  <c r="I13" i="25"/>
  <c r="H12" i="25"/>
  <c r="H112" i="1" s="1"/>
  <c r="G12" i="25"/>
  <c r="F12" i="25"/>
  <c r="H11" i="25"/>
  <c r="G11" i="25"/>
  <c r="F11" i="25"/>
  <c r="H10" i="25"/>
  <c r="G10" i="25"/>
  <c r="F10" i="25"/>
  <c r="H9" i="25"/>
  <c r="G9" i="25"/>
  <c r="F9" i="25"/>
  <c r="H8" i="25"/>
  <c r="H86" i="1" s="1"/>
  <c r="G8" i="25"/>
  <c r="G86" i="1" s="1"/>
  <c r="F8" i="25"/>
  <c r="F86" i="1" s="1"/>
  <c r="H7" i="25"/>
  <c r="G7" i="25"/>
  <c r="M3" i="25"/>
  <c r="N3" i="25" s="1"/>
  <c r="J3" i="25"/>
  <c r="K3" i="25" s="1"/>
  <c r="G3" i="25"/>
  <c r="H3" i="25" s="1"/>
  <c r="F112" i="1" l="1"/>
  <c r="M111" i="25"/>
  <c r="F11" i="24"/>
  <c r="H251" i="25"/>
  <c r="G156" i="25"/>
  <c r="H176" i="25"/>
  <c r="L242" i="25"/>
  <c r="F251" i="25"/>
  <c r="H57" i="25"/>
  <c r="G149" i="1"/>
  <c r="F91" i="25"/>
  <c r="F263" i="25" s="1"/>
  <c r="K196" i="25"/>
  <c r="F207" i="25"/>
  <c r="H207" i="25"/>
  <c r="F247" i="25"/>
  <c r="F149" i="1"/>
  <c r="H120" i="25"/>
  <c r="F135" i="25"/>
  <c r="F211" i="1" s="1"/>
  <c r="G243" i="25"/>
  <c r="K265" i="25"/>
  <c r="D11" i="24"/>
  <c r="F143" i="25"/>
  <c r="J196" i="25"/>
  <c r="N196" i="25"/>
  <c r="G234" i="25"/>
  <c r="H247" i="25"/>
  <c r="G251" i="25"/>
  <c r="G112" i="1"/>
  <c r="E11" i="24"/>
  <c r="F214" i="25"/>
  <c r="G214" i="25"/>
  <c r="H214" i="25"/>
  <c r="F243" i="25"/>
  <c r="D15" i="24" s="1"/>
  <c r="G21" i="25"/>
  <c r="F176" i="25"/>
  <c r="G176" i="25"/>
  <c r="L196" i="25"/>
  <c r="F264" i="25"/>
  <c r="F265" i="25" s="1"/>
  <c r="F223" i="1"/>
  <c r="F222" i="1" s="1"/>
  <c r="D7" i="24"/>
  <c r="F21" i="25"/>
  <c r="F212" i="1"/>
  <c r="F126" i="25"/>
  <c r="H149" i="1"/>
  <c r="F120" i="25"/>
  <c r="G120" i="25"/>
  <c r="G197" i="25"/>
  <c r="H264" i="25"/>
  <c r="G207" i="25"/>
  <c r="M196" i="25"/>
  <c r="H234" i="25"/>
  <c r="F234" i="25"/>
  <c r="J242" i="25"/>
  <c r="N242" i="25"/>
  <c r="G247" i="25"/>
  <c r="M6" i="25"/>
  <c r="F102" i="25"/>
  <c r="D8" i="24" s="1"/>
  <c r="H85" i="1"/>
  <c r="L111" i="25"/>
  <c r="G143" i="25"/>
  <c r="H143" i="25"/>
  <c r="F156" i="25"/>
  <c r="H156" i="25"/>
  <c r="F197" i="25"/>
  <c r="F238" i="25"/>
  <c r="G238" i="25"/>
  <c r="H238" i="25"/>
  <c r="H223" i="1"/>
  <c r="F60" i="25"/>
  <c r="L5" i="25"/>
  <c r="H13" i="25"/>
  <c r="G13" i="25"/>
  <c r="N111" i="25"/>
  <c r="N5" i="25" s="1"/>
  <c r="M5" i="25"/>
  <c r="M4" i="25" s="1"/>
  <c r="H135" i="25"/>
  <c r="H211" i="1" s="1"/>
  <c r="G126" i="25"/>
  <c r="K111" i="25"/>
  <c r="F13" i="25"/>
  <c r="K6" i="25"/>
  <c r="I6" i="25"/>
  <c r="G135" i="25"/>
  <c r="G211" i="1" s="1"/>
  <c r="H126" i="25"/>
  <c r="J111" i="25"/>
  <c r="I111" i="25"/>
  <c r="I260" i="25"/>
  <c r="I261" i="25" s="1"/>
  <c r="H102" i="25"/>
  <c r="F8" i="24" s="1"/>
  <c r="G102" i="25"/>
  <c r="E8" i="24" s="1"/>
  <c r="H91" i="25"/>
  <c r="G91" i="25"/>
  <c r="G60" i="25"/>
  <c r="H60" i="25"/>
  <c r="K260" i="25"/>
  <c r="K261" i="25" s="1"/>
  <c r="J260" i="25"/>
  <c r="J261" i="25" s="1"/>
  <c r="H21" i="25"/>
  <c r="J6" i="25"/>
  <c r="H265" i="25"/>
  <c r="L260" i="25"/>
  <c r="L261" i="25" s="1"/>
  <c r="G264" i="25"/>
  <c r="G265" i="25" s="1"/>
  <c r="F7" i="25"/>
  <c r="F85" i="1" s="1"/>
  <c r="G112" i="25"/>
  <c r="G85" i="1" s="1"/>
  <c r="F201" i="25"/>
  <c r="N4" i="25" l="1"/>
  <c r="H242" i="25"/>
  <c r="G242" i="25"/>
  <c r="G196" i="25"/>
  <c r="F242" i="25"/>
  <c r="H196" i="25"/>
  <c r="F111" i="25"/>
  <c r="D10" i="24" s="1"/>
  <c r="F210" i="1"/>
  <c r="G263" i="25"/>
  <c r="G212" i="1"/>
  <c r="H263" i="25"/>
  <c r="H212" i="1"/>
  <c r="G210" i="1"/>
  <c r="E6" i="24"/>
  <c r="H210" i="1"/>
  <c r="F6" i="24"/>
  <c r="F196" i="25"/>
  <c r="F68" i="1" s="1"/>
  <c r="J209" i="1"/>
  <c r="D6" i="24"/>
  <c r="L4" i="25"/>
  <c r="G111" i="25"/>
  <c r="E10" i="24" s="1"/>
  <c r="K5" i="25"/>
  <c r="H111" i="25"/>
  <c r="F260" i="25"/>
  <c r="F261" i="25" s="1"/>
  <c r="I5" i="25"/>
  <c r="I4" i="25" s="1"/>
  <c r="G6" i="25"/>
  <c r="G5" i="25" s="1"/>
  <c r="G260" i="25"/>
  <c r="G261" i="25" s="1"/>
  <c r="J5" i="25"/>
  <c r="H260" i="25"/>
  <c r="F6" i="25"/>
  <c r="H6" i="25"/>
  <c r="G4" i="25" l="1"/>
  <c r="H261" i="25"/>
  <c r="F5" i="25"/>
  <c r="F4" i="25" s="1"/>
  <c r="K4" i="25"/>
  <c r="H64" i="1"/>
  <c r="F10" i="24"/>
  <c r="H5" i="25"/>
  <c r="H4" i="25" s="1"/>
  <c r="F64" i="1"/>
  <c r="J4" i="25"/>
  <c r="G64" i="1"/>
  <c r="B13" i="24" l="1"/>
  <c r="B12" i="24"/>
  <c r="B11" i="24"/>
  <c r="B9" i="24"/>
  <c r="B8" i="24"/>
  <c r="B6" i="24"/>
  <c r="X5" i="24"/>
  <c r="W5" i="24"/>
  <c r="V5" i="24"/>
  <c r="U5" i="24"/>
  <c r="U26" i="24" s="1"/>
  <c r="T5" i="24"/>
  <c r="S5" i="24"/>
  <c r="R5" i="24"/>
  <c r="Q5" i="24"/>
  <c r="Q26" i="24" s="1"/>
  <c r="P5" i="24"/>
  <c r="O5" i="24"/>
  <c r="N5" i="24"/>
  <c r="M5" i="24"/>
  <c r="M26" i="24" s="1"/>
  <c r="L5" i="24"/>
  <c r="K5" i="24"/>
  <c r="J5" i="24"/>
  <c r="I5" i="24"/>
  <c r="I26" i="24" s="1"/>
  <c r="H5" i="24"/>
  <c r="G5" i="24"/>
  <c r="F4" i="24"/>
  <c r="I4" i="24" s="1"/>
  <c r="L4" i="24" s="1"/>
  <c r="O4" i="24" s="1"/>
  <c r="R4" i="24" s="1"/>
  <c r="U4" i="24" s="1"/>
  <c r="X4" i="24" s="1"/>
  <c r="E4" i="24"/>
  <c r="H4" i="24" s="1"/>
  <c r="K4" i="24" s="1"/>
  <c r="N4" i="24" s="1"/>
  <c r="Q4" i="24" s="1"/>
  <c r="T4" i="24" s="1"/>
  <c r="W4" i="24" s="1"/>
  <c r="D4" i="24"/>
  <c r="G4" i="24" s="1"/>
  <c r="J4" i="24" s="1"/>
  <c r="M4" i="24" s="1"/>
  <c r="P4" i="24" s="1"/>
  <c r="S4" i="24" s="1"/>
  <c r="V4" i="24" s="1"/>
  <c r="B3" i="24"/>
  <c r="B1" i="24"/>
  <c r="I35" i="23"/>
  <c r="I34" i="23"/>
  <c r="I33" i="23"/>
  <c r="H32" i="23"/>
  <c r="G32" i="23"/>
  <c r="F32" i="23"/>
  <c r="E32" i="23"/>
  <c r="D32" i="23"/>
  <c r="C32" i="23"/>
  <c r="B32" i="23"/>
  <c r="I30" i="23"/>
  <c r="I29" i="23"/>
  <c r="I28" i="23"/>
  <c r="I27" i="23"/>
  <c r="I26" i="23"/>
  <c r="I25" i="23"/>
  <c r="H24" i="23"/>
  <c r="H31" i="23" s="1"/>
  <c r="G24" i="23"/>
  <c r="G31" i="23" s="1"/>
  <c r="F24" i="23"/>
  <c r="F31" i="23" s="1"/>
  <c r="E24" i="23"/>
  <c r="E31" i="23" s="1"/>
  <c r="D24" i="23"/>
  <c r="D31" i="23" s="1"/>
  <c r="C24" i="23"/>
  <c r="C31" i="23" s="1"/>
  <c r="B24" i="23"/>
  <c r="B31" i="23" s="1"/>
  <c r="I23" i="23"/>
  <c r="I18" i="23"/>
  <c r="I17" i="23"/>
  <c r="H15" i="23"/>
  <c r="G15" i="23"/>
  <c r="F15" i="23"/>
  <c r="E15" i="23"/>
  <c r="D15" i="23"/>
  <c r="C15" i="23"/>
  <c r="B15" i="23"/>
  <c r="I13" i="23"/>
  <c r="I12" i="23"/>
  <c r="I11" i="23"/>
  <c r="I10" i="23"/>
  <c r="I9" i="23"/>
  <c r="I8" i="23"/>
  <c r="I7" i="23"/>
  <c r="H6" i="23"/>
  <c r="H14" i="23" s="1"/>
  <c r="G6" i="23"/>
  <c r="G14" i="23" s="1"/>
  <c r="F6" i="23"/>
  <c r="F14" i="23" s="1"/>
  <c r="E6" i="23"/>
  <c r="E14" i="23" s="1"/>
  <c r="D6" i="23"/>
  <c r="D14" i="23" s="1"/>
  <c r="C6" i="23"/>
  <c r="C14" i="23" s="1"/>
  <c r="B6" i="23"/>
  <c r="B14" i="23" s="1"/>
  <c r="I5" i="23"/>
  <c r="I4" i="23"/>
  <c r="G257" i="1" l="1"/>
  <c r="G26" i="24"/>
  <c r="K26" i="24"/>
  <c r="O26" i="24"/>
  <c r="S26" i="24"/>
  <c r="W26" i="24"/>
  <c r="I15" i="23"/>
  <c r="I32" i="23"/>
  <c r="H26" i="24"/>
  <c r="J26" i="24"/>
  <c r="L26" i="24"/>
  <c r="N26" i="24"/>
  <c r="P26" i="24"/>
  <c r="R26" i="24"/>
  <c r="T26" i="24"/>
  <c r="V26" i="24"/>
  <c r="X26" i="24"/>
  <c r="I6" i="23"/>
  <c r="I14" i="23" s="1"/>
  <c r="F263" i="1" s="1"/>
  <c r="I24" i="23"/>
  <c r="I31" i="23" l="1"/>
  <c r="G263" i="1" s="1"/>
  <c r="F258" i="1"/>
  <c r="G70" i="1" l="1"/>
  <c r="H70" i="1"/>
  <c r="F252" i="3"/>
  <c r="G252" i="3"/>
  <c r="F253" i="3"/>
  <c r="G253" i="3"/>
  <c r="F70" i="1"/>
  <c r="F106" i="1" l="1"/>
  <c r="F84" i="1"/>
  <c r="E11" i="13" l="1"/>
  <c r="D11" i="13"/>
  <c r="C11" i="13"/>
  <c r="W1" i="10" l="1"/>
  <c r="E152" i="9"/>
  <c r="E159" i="9" s="1"/>
  <c r="F152" i="9"/>
  <c r="F159" i="9" s="1"/>
  <c r="D152" i="9"/>
  <c r="D159" i="9" s="1"/>
  <c r="G159" i="9" s="1"/>
  <c r="E15" i="9"/>
  <c r="D15" i="9"/>
  <c r="C15" i="9"/>
  <c r="E12" i="8"/>
  <c r="D12" i="8"/>
  <c r="C12" i="8"/>
  <c r="G25" i="7"/>
  <c r="G24" i="7"/>
  <c r="G23" i="7"/>
  <c r="D19" i="7"/>
  <c r="D16" i="7"/>
  <c r="D14" i="7"/>
  <c r="D284" i="1"/>
  <c r="D285" i="1"/>
  <c r="D283" i="1"/>
  <c r="D280" i="1"/>
  <c r="D281" i="1"/>
  <c r="D279" i="1"/>
  <c r="I259" i="1"/>
  <c r="I260" i="1"/>
  <c r="E11" i="3"/>
  <c r="G75" i="1"/>
  <c r="H75" i="1"/>
  <c r="G66" i="1"/>
  <c r="H66" i="1"/>
  <c r="G63" i="1"/>
  <c r="H63" i="1"/>
  <c r="G62" i="1"/>
  <c r="H62" i="1"/>
  <c r="F62" i="1"/>
  <c r="I258" i="1" l="1"/>
  <c r="G236" i="1"/>
  <c r="G235" i="1" s="1"/>
  <c r="H236" i="1"/>
  <c r="H235" i="1" s="1"/>
  <c r="I236" i="1"/>
  <c r="I235" i="1" s="1"/>
  <c r="F236" i="1"/>
  <c r="F235" i="1" s="1"/>
  <c r="G230" i="1"/>
  <c r="G229" i="1" s="1"/>
  <c r="H230" i="1"/>
  <c r="H229" i="1" s="1"/>
  <c r="I230" i="1"/>
  <c r="I229" i="1" s="1"/>
  <c r="F230" i="1"/>
  <c r="F229" i="1" s="1"/>
  <c r="G222" i="1"/>
  <c r="H222" i="1"/>
  <c r="I222" i="1"/>
  <c r="I224" i="1"/>
  <c r="G226" i="1"/>
  <c r="H226" i="1"/>
  <c r="I226" i="1"/>
  <c r="F226" i="1"/>
  <c r="I209" i="1"/>
  <c r="I213" i="1"/>
  <c r="I217" i="1"/>
  <c r="G200" i="1"/>
  <c r="H200" i="1"/>
  <c r="I200" i="1"/>
  <c r="G204" i="1"/>
  <c r="H204" i="1"/>
  <c r="I204" i="1"/>
  <c r="F204" i="1"/>
  <c r="F200" i="1"/>
  <c r="F199" i="1" s="1"/>
  <c r="G190" i="1"/>
  <c r="H190" i="1"/>
  <c r="I190" i="1"/>
  <c r="G193" i="1"/>
  <c r="H193" i="1"/>
  <c r="I193" i="1"/>
  <c r="G196" i="1"/>
  <c r="H196" i="1"/>
  <c r="I196" i="1"/>
  <c r="F196" i="1"/>
  <c r="F193" i="1"/>
  <c r="F190" i="1"/>
  <c r="G184" i="1"/>
  <c r="H184" i="1"/>
  <c r="F184" i="1"/>
  <c r="H175" i="1"/>
  <c r="G175" i="1"/>
  <c r="F175" i="1"/>
  <c r="H173" i="1"/>
  <c r="G173" i="1"/>
  <c r="F173" i="1"/>
  <c r="G171" i="1"/>
  <c r="H171" i="1"/>
  <c r="F171" i="1"/>
  <c r="G167" i="1"/>
  <c r="H167" i="1"/>
  <c r="F167" i="1"/>
  <c r="G163" i="1"/>
  <c r="H163" i="1"/>
  <c r="F163" i="1"/>
  <c r="F142" i="1"/>
  <c r="G140" i="1"/>
  <c r="G139" i="1" s="1"/>
  <c r="H140" i="1"/>
  <c r="H139" i="1" s="1"/>
  <c r="F140" i="1"/>
  <c r="F139" i="1" s="1"/>
  <c r="G136" i="1"/>
  <c r="G135" i="1" s="1"/>
  <c r="H136" i="1"/>
  <c r="H135" i="1" s="1"/>
  <c r="F136" i="1"/>
  <c r="F135" i="1" s="1"/>
  <c r="G133" i="1"/>
  <c r="H133" i="1"/>
  <c r="F133" i="1"/>
  <c r="G123" i="1"/>
  <c r="H123" i="1"/>
  <c r="F123" i="1"/>
  <c r="G121" i="1"/>
  <c r="H121" i="1"/>
  <c r="F121" i="1"/>
  <c r="F102" i="1"/>
  <c r="H102" i="1"/>
  <c r="G102" i="1"/>
  <c r="H98" i="1"/>
  <c r="G98" i="1"/>
  <c r="F98" i="1"/>
  <c r="G94" i="1"/>
  <c r="H94" i="1"/>
  <c r="F94" i="1"/>
  <c r="G77" i="1"/>
  <c r="H77" i="1"/>
  <c r="H177" i="1"/>
  <c r="G177" i="1"/>
  <c r="F177" i="1"/>
  <c r="H144" i="1"/>
  <c r="G144" i="1"/>
  <c r="F144" i="1"/>
  <c r="H142" i="1"/>
  <c r="G142" i="1"/>
  <c r="H106" i="1"/>
  <c r="G106" i="1"/>
  <c r="I73" i="1"/>
  <c r="H73" i="1"/>
  <c r="G73" i="1"/>
  <c r="F73" i="1"/>
  <c r="I71" i="1"/>
  <c r="H71" i="1"/>
  <c r="G71" i="1"/>
  <c r="F71" i="1"/>
  <c r="I67" i="1"/>
  <c r="H67" i="1"/>
  <c r="H61" i="1" s="1"/>
  <c r="G67" i="1"/>
  <c r="G61" i="1" s="1"/>
  <c r="I63" i="1"/>
  <c r="H57" i="1"/>
  <c r="H253" i="1" s="1"/>
  <c r="G57" i="1"/>
  <c r="G253" i="1" s="1"/>
  <c r="F57" i="1"/>
  <c r="H2" i="10" s="1"/>
  <c r="G93" i="1" l="1"/>
  <c r="H120" i="1"/>
  <c r="H162" i="1"/>
  <c r="I61" i="1"/>
  <c r="G120" i="1"/>
  <c r="G162" i="1"/>
  <c r="F120" i="1"/>
  <c r="H199" i="1"/>
  <c r="F162" i="1"/>
  <c r="F93" i="1"/>
  <c r="I189" i="1"/>
  <c r="I199" i="1"/>
  <c r="H93" i="1"/>
  <c r="H189" i="1"/>
  <c r="I208" i="1"/>
  <c r="F253" i="1"/>
  <c r="G189" i="1"/>
  <c r="G199" i="1"/>
  <c r="I221" i="1"/>
  <c r="I228" i="1"/>
  <c r="H228" i="1"/>
  <c r="G228" i="1"/>
  <c r="F228" i="1"/>
  <c r="F189" i="1"/>
  <c r="B28" i="1"/>
  <c r="I188" i="1" l="1"/>
  <c r="I81" i="1" s="1"/>
  <c r="I60" i="1" s="1"/>
  <c r="I255" i="1" l="1"/>
  <c r="E1072" i="3"/>
  <c r="A1072" i="3"/>
  <c r="F1071" i="3"/>
  <c r="A1071" i="3"/>
  <c r="D9" i="3"/>
  <c r="I161" i="9"/>
  <c r="H161" i="9"/>
  <c r="G161" i="9"/>
  <c r="I159" i="9"/>
  <c r="I158" i="9" s="1"/>
  <c r="H159" i="9"/>
  <c r="H158" i="9" s="1"/>
  <c r="G158" i="9"/>
  <c r="I156" i="9"/>
  <c r="H156" i="9"/>
  <c r="G156" i="9"/>
  <c r="I154" i="9"/>
  <c r="H154" i="9"/>
  <c r="G154" i="9"/>
  <c r="I152" i="9"/>
  <c r="H152" i="9"/>
  <c r="G152" i="9"/>
  <c r="I149" i="9"/>
  <c r="H149" i="9"/>
  <c r="G149" i="9"/>
  <c r="S492" i="10"/>
  <c r="T492" i="10"/>
  <c r="U492" i="10"/>
  <c r="V492" i="10"/>
  <c r="I151" i="9" l="1"/>
  <c r="H151" i="9"/>
  <c r="H164" i="9" s="1"/>
  <c r="G151" i="9"/>
  <c r="G164" i="9" s="1"/>
  <c r="I164" i="9"/>
  <c r="D31" i="7"/>
  <c r="D30" i="7"/>
  <c r="D29" i="7"/>
  <c r="D28" i="7"/>
  <c r="D27" i="7"/>
  <c r="D26" i="7"/>
  <c r="D22" i="7"/>
  <c r="D21" i="7"/>
  <c r="D17" i="7"/>
  <c r="D15" i="7"/>
  <c r="H20" i="7"/>
  <c r="H18" i="7"/>
  <c r="H13" i="7" s="1"/>
  <c r="G20" i="7"/>
  <c r="G18" i="7"/>
  <c r="G13" i="7" s="1"/>
  <c r="G1054" i="3"/>
  <c r="F1054" i="3"/>
  <c r="G1044" i="3"/>
  <c r="F1044" i="3"/>
  <c r="G1019" i="3"/>
  <c r="F1019" i="3"/>
  <c r="G995" i="3"/>
  <c r="F995" i="3"/>
  <c r="G987" i="3"/>
  <c r="G980" i="3" s="1"/>
  <c r="F987" i="3"/>
  <c r="G964" i="3"/>
  <c r="F964" i="3"/>
  <c r="G954" i="3"/>
  <c r="F954" i="3"/>
  <c r="G929" i="3"/>
  <c r="F929" i="3"/>
  <c r="G905" i="3"/>
  <c r="F905" i="3"/>
  <c r="G897" i="3"/>
  <c r="F897" i="3"/>
  <c r="G874" i="3"/>
  <c r="F874" i="3"/>
  <c r="G864" i="3"/>
  <c r="F864" i="3"/>
  <c r="G839" i="3"/>
  <c r="F839" i="3"/>
  <c r="G815" i="3"/>
  <c r="F815" i="3"/>
  <c r="G807" i="3"/>
  <c r="F807" i="3"/>
  <c r="G784" i="3"/>
  <c r="F784" i="3"/>
  <c r="G774" i="3"/>
  <c r="F774" i="3"/>
  <c r="G749" i="3"/>
  <c r="F749" i="3"/>
  <c r="G725" i="3"/>
  <c r="F725" i="3"/>
  <c r="G717" i="3"/>
  <c r="F717" i="3"/>
  <c r="G694" i="3"/>
  <c r="F694" i="3"/>
  <c r="G684" i="3"/>
  <c r="F684" i="3"/>
  <c r="G659" i="3"/>
  <c r="F659" i="3"/>
  <c r="G635" i="3"/>
  <c r="F635" i="3"/>
  <c r="G627" i="3"/>
  <c r="G620" i="3" s="1"/>
  <c r="F627" i="3"/>
  <c r="G604" i="3"/>
  <c r="F604" i="3"/>
  <c r="G594" i="3"/>
  <c r="F594" i="3"/>
  <c r="G569" i="3"/>
  <c r="F569" i="3"/>
  <c r="G545" i="3"/>
  <c r="F545" i="3"/>
  <c r="G537" i="3"/>
  <c r="F537" i="3"/>
  <c r="F530" i="3" s="1"/>
  <c r="G514" i="3"/>
  <c r="F514" i="3"/>
  <c r="G504" i="3"/>
  <c r="F504" i="3"/>
  <c r="G479" i="3"/>
  <c r="F479" i="3"/>
  <c r="G455" i="3"/>
  <c r="F455" i="3"/>
  <c r="G447" i="3"/>
  <c r="F447" i="3"/>
  <c r="G424" i="3"/>
  <c r="F424" i="3"/>
  <c r="G414" i="3"/>
  <c r="F414" i="3"/>
  <c r="G389" i="3"/>
  <c r="F389" i="3"/>
  <c r="G365" i="3"/>
  <c r="F365" i="3"/>
  <c r="G357" i="3"/>
  <c r="F357" i="3"/>
  <c r="G334" i="3"/>
  <c r="F334" i="3"/>
  <c r="G324" i="3"/>
  <c r="F324" i="3"/>
  <c r="G299" i="3"/>
  <c r="F299" i="3"/>
  <c r="G275" i="3"/>
  <c r="F275" i="3"/>
  <c r="G267" i="3"/>
  <c r="F267" i="3"/>
  <c r="F440" i="3" l="1"/>
  <c r="F620" i="3"/>
  <c r="G530" i="3"/>
  <c r="F260" i="3"/>
  <c r="F980" i="3"/>
  <c r="G800" i="3"/>
  <c r="F350" i="3"/>
  <c r="F710" i="3"/>
  <c r="G440" i="3"/>
  <c r="F890" i="3"/>
  <c r="G890" i="3"/>
  <c r="F800" i="3"/>
  <c r="G260" i="3"/>
  <c r="G350" i="3"/>
  <c r="G710" i="3"/>
  <c r="A1073" i="3" l="1"/>
  <c r="J447" i="10"/>
  <c r="J446" i="10"/>
  <c r="K447" i="10"/>
  <c r="R613" i="10" l="1"/>
  <c r="R614" i="10"/>
  <c r="R611" i="10" l="1"/>
  <c r="R610" i="10"/>
  <c r="R609" i="10"/>
  <c r="R608" i="10"/>
  <c r="R607" i="10"/>
  <c r="R606" i="10"/>
  <c r="R605" i="10"/>
  <c r="R604" i="10"/>
  <c r="R603" i="10"/>
  <c r="R602" i="10"/>
  <c r="R601" i="10"/>
  <c r="R600" i="10"/>
  <c r="R599" i="10"/>
  <c r="R598" i="10"/>
  <c r="R597" i="10"/>
  <c r="R596" i="10"/>
  <c r="R612" i="10"/>
  <c r="G375" i="10" l="1"/>
  <c r="I142" i="9" l="1"/>
  <c r="H142" i="9"/>
  <c r="G142" i="9"/>
  <c r="I137" i="9"/>
  <c r="H137" i="9"/>
  <c r="G137" i="9"/>
  <c r="I135" i="9"/>
  <c r="H135" i="9"/>
  <c r="G135" i="9"/>
  <c r="I130" i="9"/>
  <c r="H130" i="9"/>
  <c r="G130" i="9"/>
  <c r="G128" i="9"/>
  <c r="I123" i="9"/>
  <c r="H123" i="9"/>
  <c r="G123" i="9"/>
  <c r="I118" i="9"/>
  <c r="H118" i="9"/>
  <c r="G118" i="9"/>
  <c r="I116" i="9"/>
  <c r="H116" i="9"/>
  <c r="G116" i="9"/>
  <c r="I111" i="9"/>
  <c r="H111" i="9"/>
  <c r="G111" i="9"/>
  <c r="I79" i="9" l="1"/>
  <c r="I67" i="9"/>
  <c r="K446" i="10" l="1"/>
  <c r="B446" i="10"/>
  <c r="B312" i="10"/>
  <c r="G121" i="10"/>
  <c r="R312" i="10" l="1"/>
  <c r="R1011" i="10" l="1"/>
  <c r="R1013" i="10"/>
  <c r="R1015" i="10"/>
  <c r="R446" i="10"/>
  <c r="R1016" i="10"/>
  <c r="R996" i="10" l="1"/>
  <c r="R1012" i="10"/>
  <c r="R1014" i="10"/>
  <c r="R1009" i="10"/>
  <c r="R1007" i="10"/>
  <c r="R1005" i="10"/>
  <c r="R1004" i="10"/>
  <c r="R1002" i="10"/>
  <c r="R1000" i="10"/>
  <c r="R998" i="10"/>
  <c r="R1010" i="10"/>
  <c r="R1008" i="10"/>
  <c r="R1006" i="10"/>
  <c r="R1003" i="10"/>
  <c r="R1001" i="10"/>
  <c r="R999" i="10"/>
  <c r="R997" i="10"/>
  <c r="R353" i="10" l="1"/>
  <c r="R354" i="10"/>
  <c r="R355" i="10"/>
  <c r="R356" i="10"/>
  <c r="R357" i="10"/>
  <c r="R358" i="10"/>
  <c r="R351" i="10" l="1"/>
  <c r="R352" i="10"/>
  <c r="R635" i="10" l="1"/>
  <c r="R627" i="10"/>
  <c r="R631" i="10"/>
  <c r="R637" i="10"/>
  <c r="R636" i="10"/>
  <c r="R632" i="10"/>
  <c r="R626" i="10"/>
  <c r="R628" i="10"/>
  <c r="R639" i="10"/>
  <c r="R638" i="10" l="1"/>
  <c r="R634" i="10"/>
  <c r="R630" i="10"/>
  <c r="R633" i="10"/>
  <c r="R629" i="10"/>
  <c r="R485" i="10" l="1"/>
  <c r="B437" i="10" l="1"/>
  <c r="R437" i="10" l="1"/>
  <c r="U11" i="3" l="1"/>
  <c r="R11" i="3"/>
  <c r="B7" i="8"/>
  <c r="B77" i="10" l="1"/>
  <c r="B67" i="10"/>
  <c r="B62" i="10"/>
  <c r="B219" i="10"/>
  <c r="B209" i="10"/>
  <c r="B204" i="10"/>
  <c r="B198" i="10"/>
  <c r="B188" i="10"/>
  <c r="B183" i="10"/>
  <c r="B177" i="10"/>
  <c r="B167" i="10"/>
  <c r="B162" i="10"/>
  <c r="B214" i="10"/>
  <c r="B193" i="10"/>
  <c r="R183" i="10" l="1"/>
  <c r="R214" i="10"/>
  <c r="B172" i="10"/>
  <c r="B72" i="10"/>
  <c r="R209" i="10" l="1"/>
  <c r="R62" i="10"/>
  <c r="R193" i="10"/>
  <c r="R219" i="10"/>
  <c r="R204" i="10"/>
  <c r="R188" i="10"/>
  <c r="R198" i="10"/>
  <c r="R167" i="10"/>
  <c r="R177" i="10"/>
  <c r="R162" i="10"/>
  <c r="R172" i="10"/>
  <c r="R67" i="10" l="1"/>
  <c r="R77" i="10"/>
  <c r="R72" i="10" l="1"/>
  <c r="G434" i="10" l="1"/>
  <c r="G415" i="10"/>
  <c r="R1079" i="10" l="1"/>
  <c r="R1072" i="10"/>
  <c r="R1080" i="10"/>
  <c r="R1078" i="10"/>
  <c r="R1077" i="10"/>
  <c r="R1070" i="10"/>
  <c r="R1069" i="10"/>
  <c r="R1064" i="10"/>
  <c r="R1066" i="10"/>
  <c r="A252" i="3"/>
  <c r="R1068" i="10" l="1"/>
  <c r="R1067" i="10"/>
  <c r="R1073" i="10"/>
  <c r="R1071" i="10"/>
  <c r="R1065" i="10"/>
  <c r="R1063" i="10"/>
  <c r="B453" i="10" l="1"/>
  <c r="B459" i="10"/>
  <c r="R459" i="10" l="1"/>
  <c r="R453" i="10" l="1"/>
  <c r="T594" i="10" l="1"/>
  <c r="S594" i="10"/>
  <c r="U594" i="10"/>
  <c r="R617" i="10" l="1"/>
  <c r="R595" i="10"/>
  <c r="R616" i="10"/>
  <c r="V594" i="10"/>
  <c r="E246" i="3" s="1"/>
  <c r="R615" i="10"/>
  <c r="R594" i="10" l="1"/>
  <c r="B372" i="10" l="1"/>
  <c r="B316" i="10"/>
  <c r="R316" i="10" l="1"/>
  <c r="R372" i="10" l="1"/>
  <c r="B293" i="10" l="1"/>
  <c r="B324" i="10"/>
  <c r="R293" i="10" l="1"/>
  <c r="R324" i="10"/>
  <c r="R1132" i="10" l="1"/>
  <c r="R1124" i="10"/>
  <c r="T137" i="10"/>
  <c r="R1142" i="10"/>
  <c r="R1123" i="10"/>
  <c r="R1135" i="10"/>
  <c r="R1122" i="10"/>
  <c r="R1125" i="10"/>
  <c r="R1121" i="10"/>
  <c r="R1131" i="10"/>
  <c r="R1129" i="10"/>
  <c r="R1127" i="10"/>
  <c r="R1130" i="10"/>
  <c r="R1128" i="10"/>
  <c r="S137" i="10"/>
  <c r="U137" i="10"/>
  <c r="R138" i="10"/>
  <c r="R1139" i="10" l="1"/>
  <c r="R1143" i="10"/>
  <c r="R1119" i="10"/>
  <c r="R1112" i="10"/>
  <c r="R1146" i="10"/>
  <c r="R1145" i="10"/>
  <c r="R1138" i="10"/>
  <c r="R1110" i="10"/>
  <c r="R1120" i="10"/>
  <c r="R1115" i="10"/>
  <c r="R1137" i="10"/>
  <c r="R1134" i="10"/>
  <c r="R1141" i="10"/>
  <c r="R1116" i="10"/>
  <c r="R1118" i="10"/>
  <c r="R1133" i="10"/>
  <c r="R1114" i="10"/>
  <c r="R1140" i="10"/>
  <c r="R1117" i="10"/>
  <c r="R1113" i="10"/>
  <c r="R1144" i="10"/>
  <c r="R1136" i="10"/>
  <c r="R1111" i="10"/>
  <c r="R1126" i="10"/>
  <c r="V137" i="10"/>
  <c r="R139" i="10"/>
  <c r="R137" i="10" s="1"/>
  <c r="G104" i="9" l="1"/>
  <c r="G105" i="9"/>
  <c r="G106" i="9"/>
  <c r="G103" i="9"/>
  <c r="G92" i="9"/>
  <c r="I82" i="9"/>
  <c r="I106" i="9" s="1"/>
  <c r="I81" i="9"/>
  <c r="I105" i="9" s="1"/>
  <c r="I80" i="9"/>
  <c r="I104" i="9" s="1"/>
  <c r="I103" i="9"/>
  <c r="R400" i="10" l="1"/>
  <c r="R392" i="10" l="1"/>
  <c r="A773" i="3" l="1"/>
  <c r="B773" i="3"/>
  <c r="C773" i="3"/>
  <c r="A683" i="3"/>
  <c r="B683" i="3"/>
  <c r="C683" i="3"/>
  <c r="A953" i="3"/>
  <c r="B953" i="3"/>
  <c r="C953" i="3"/>
  <c r="A593" i="3"/>
  <c r="B593" i="3"/>
  <c r="C593" i="3"/>
  <c r="A503" i="3"/>
  <c r="B503" i="3"/>
  <c r="C503" i="3"/>
  <c r="A863" i="3"/>
  <c r="B863" i="3"/>
  <c r="C863" i="3"/>
  <c r="A413" i="3"/>
  <c r="B413" i="3"/>
  <c r="C413" i="3"/>
  <c r="A323" i="3"/>
  <c r="B323" i="3"/>
  <c r="C323" i="3"/>
  <c r="A233" i="3"/>
  <c r="B233" i="3"/>
  <c r="C233" i="3"/>
  <c r="V233" i="3"/>
  <c r="W233" i="3"/>
  <c r="A1043" i="3"/>
  <c r="B1043" i="3"/>
  <c r="C1043" i="3"/>
  <c r="F143" i="3" l="1"/>
  <c r="V143" i="3" s="1"/>
  <c r="U233" i="3"/>
  <c r="G143" i="3"/>
  <c r="W143" i="3" s="1"/>
  <c r="T22" i="10"/>
  <c r="U22" i="10"/>
  <c r="R24" i="10"/>
  <c r="V22" i="10"/>
  <c r="R23" i="10"/>
  <c r="S22" i="10"/>
  <c r="E143" i="3" l="1"/>
  <c r="S1200" i="10"/>
  <c r="S1224" i="10" s="1"/>
  <c r="V1200" i="10"/>
  <c r="T1200" i="10"/>
  <c r="T1224" i="10" s="1"/>
  <c r="U1200" i="10"/>
  <c r="U1224" i="10" s="1"/>
  <c r="R22" i="10"/>
  <c r="U143" i="3" l="1"/>
  <c r="V1212" i="10"/>
  <c r="V1224" i="10" s="1"/>
  <c r="R1200" i="10"/>
  <c r="R1212" i="10" l="1"/>
  <c r="R1224" i="10" s="1"/>
  <c r="W1224" i="10" s="1"/>
  <c r="W1212" i="10" l="1"/>
  <c r="G342" i="10" l="1"/>
  <c r="B458" i="10"/>
  <c r="B452" i="10"/>
  <c r="R458" i="10" l="1"/>
  <c r="R452" i="10"/>
  <c r="C221" i="3" l="1"/>
  <c r="R1056" i="10" l="1"/>
  <c r="R1021" i="10"/>
  <c r="R988" i="10"/>
  <c r="R989" i="10"/>
  <c r="R1049" i="10"/>
  <c r="R1055" i="10"/>
  <c r="R1057" i="10"/>
  <c r="R991" i="10"/>
  <c r="R1019" i="10"/>
  <c r="R1045" i="10"/>
  <c r="R1046" i="10"/>
  <c r="R1047" i="10"/>
  <c r="R1050" i="10"/>
  <c r="R1018" i="10"/>
  <c r="R1022" i="10"/>
  <c r="R1017" i="10"/>
  <c r="R992" i="10"/>
  <c r="R128" i="10"/>
  <c r="R1054" i="10" l="1"/>
  <c r="R1053" i="10"/>
  <c r="R994" i="10"/>
  <c r="R1051" i="10"/>
  <c r="R1048" i="10"/>
  <c r="R1044" i="10"/>
  <c r="R1058" i="10"/>
  <c r="R129" i="10"/>
  <c r="R127" i="10"/>
  <c r="R990" i="10"/>
  <c r="R987" i="10"/>
  <c r="R1020" i="10"/>
  <c r="R1052" i="10"/>
  <c r="R1074" i="10"/>
  <c r="R995" i="10"/>
  <c r="R993" i="10"/>
  <c r="R847" i="10"/>
  <c r="R846" i="10"/>
  <c r="R845" i="10"/>
  <c r="R844" i="10"/>
  <c r="R843" i="10"/>
  <c r="I35" i="10" l="1"/>
  <c r="G328" i="10" l="1"/>
  <c r="B120" i="10"/>
  <c r="R120" i="10" l="1"/>
  <c r="W2" i="10" l="1"/>
  <c r="B103" i="10" l="1"/>
  <c r="R103" i="10" l="1"/>
  <c r="B96" i="10" l="1"/>
  <c r="R96" i="10" l="1"/>
  <c r="W13" i="3" l="1"/>
  <c r="V13" i="3"/>
  <c r="U13" i="3"/>
  <c r="R251" i="10" l="1"/>
  <c r="R702" i="10" l="1"/>
  <c r="R697" i="10" l="1"/>
  <c r="R698" i="10"/>
  <c r="R699" i="10"/>
  <c r="R700" i="10"/>
  <c r="R1081" i="10"/>
  <c r="R1062" i="10"/>
  <c r="R701" i="10" l="1"/>
  <c r="R566" i="10" l="1"/>
  <c r="R565" i="10"/>
  <c r="R564" i="10"/>
  <c r="R401" i="10" l="1"/>
  <c r="R397" i="10"/>
  <c r="R398" i="10"/>
  <c r="R399" i="10"/>
  <c r="R396" i="10"/>
  <c r="R395" i="10"/>
  <c r="R402" i="10" l="1"/>
  <c r="R571" i="10"/>
  <c r="R391" i="10" l="1"/>
  <c r="R393" i="10"/>
  <c r="R394" i="10"/>
  <c r="B280" i="10" l="1"/>
  <c r="B276" i="10"/>
  <c r="R280" i="10" l="1"/>
  <c r="R276" i="10"/>
  <c r="B235" i="10"/>
  <c r="R235" i="10" l="1"/>
  <c r="B460" i="10" l="1"/>
  <c r="B454" i="10"/>
  <c r="R460" i="10" l="1"/>
  <c r="R454" i="10" l="1"/>
  <c r="Q288" i="10" l="1"/>
  <c r="B289" i="10"/>
  <c r="B285" i="10"/>
  <c r="R289" i="10" l="1"/>
  <c r="R285" i="10"/>
  <c r="W992" i="3" l="1"/>
  <c r="V992" i="3"/>
  <c r="U992" i="3"/>
  <c r="R1035" i="10" l="1"/>
  <c r="R1036" i="10"/>
  <c r="R1034" i="10" l="1"/>
  <c r="A743" i="3"/>
  <c r="B743" i="3"/>
  <c r="C743" i="3"/>
  <c r="U743" i="3"/>
  <c r="V743" i="3"/>
  <c r="W743" i="3"/>
  <c r="A744" i="3"/>
  <c r="B744" i="3"/>
  <c r="C744" i="3"/>
  <c r="U744" i="3"/>
  <c r="V744" i="3"/>
  <c r="W744" i="3"/>
  <c r="A745" i="3"/>
  <c r="B745" i="3"/>
  <c r="C745" i="3"/>
  <c r="U745" i="3"/>
  <c r="V745" i="3"/>
  <c r="W745" i="3"/>
  <c r="A746" i="3"/>
  <c r="B746" i="3"/>
  <c r="C746" i="3"/>
  <c r="U746" i="3"/>
  <c r="V746" i="3"/>
  <c r="W746" i="3"/>
  <c r="A747" i="3"/>
  <c r="B747" i="3"/>
  <c r="C747" i="3"/>
  <c r="U747" i="3"/>
  <c r="V747" i="3"/>
  <c r="W747" i="3"/>
  <c r="A653" i="3"/>
  <c r="B653" i="3"/>
  <c r="C653" i="3"/>
  <c r="U653" i="3"/>
  <c r="V653" i="3"/>
  <c r="W653" i="3"/>
  <c r="A654" i="3"/>
  <c r="B654" i="3"/>
  <c r="C654" i="3"/>
  <c r="U654" i="3"/>
  <c r="V654" i="3"/>
  <c r="W654" i="3"/>
  <c r="A655" i="3"/>
  <c r="B655" i="3"/>
  <c r="C655" i="3"/>
  <c r="U655" i="3"/>
  <c r="V655" i="3"/>
  <c r="W655" i="3"/>
  <c r="A656" i="3"/>
  <c r="B656" i="3"/>
  <c r="C656" i="3"/>
  <c r="U656" i="3"/>
  <c r="V656" i="3"/>
  <c r="W656" i="3"/>
  <c r="A657" i="3"/>
  <c r="B657" i="3"/>
  <c r="C657" i="3"/>
  <c r="U657" i="3"/>
  <c r="V657" i="3"/>
  <c r="W657" i="3"/>
  <c r="A923" i="3"/>
  <c r="B923" i="3"/>
  <c r="C923" i="3"/>
  <c r="U923" i="3"/>
  <c r="V923" i="3"/>
  <c r="W923" i="3"/>
  <c r="A924" i="3"/>
  <c r="B924" i="3"/>
  <c r="C924" i="3"/>
  <c r="U924" i="3"/>
  <c r="V924" i="3"/>
  <c r="W924" i="3"/>
  <c r="A925" i="3"/>
  <c r="B925" i="3"/>
  <c r="C925" i="3"/>
  <c r="U925" i="3"/>
  <c r="V925" i="3"/>
  <c r="W925" i="3"/>
  <c r="A926" i="3"/>
  <c r="B926" i="3"/>
  <c r="C926" i="3"/>
  <c r="U926" i="3"/>
  <c r="V926" i="3"/>
  <c r="W926" i="3"/>
  <c r="A927" i="3"/>
  <c r="B927" i="3"/>
  <c r="C927" i="3"/>
  <c r="U927" i="3"/>
  <c r="V927" i="3"/>
  <c r="W927" i="3"/>
  <c r="A563" i="3"/>
  <c r="B563" i="3"/>
  <c r="C563" i="3"/>
  <c r="U563" i="3"/>
  <c r="V563" i="3"/>
  <c r="W563" i="3"/>
  <c r="A564" i="3"/>
  <c r="B564" i="3"/>
  <c r="C564" i="3"/>
  <c r="U564" i="3"/>
  <c r="V564" i="3"/>
  <c r="W564" i="3"/>
  <c r="A565" i="3"/>
  <c r="B565" i="3"/>
  <c r="C565" i="3"/>
  <c r="U565" i="3"/>
  <c r="V565" i="3"/>
  <c r="W565" i="3"/>
  <c r="A566" i="3"/>
  <c r="B566" i="3"/>
  <c r="C566" i="3"/>
  <c r="U566" i="3"/>
  <c r="V566" i="3"/>
  <c r="W566" i="3"/>
  <c r="A567" i="3"/>
  <c r="B567" i="3"/>
  <c r="C567" i="3"/>
  <c r="U567" i="3"/>
  <c r="V567" i="3"/>
  <c r="W567" i="3"/>
  <c r="A473" i="3"/>
  <c r="B473" i="3"/>
  <c r="C473" i="3"/>
  <c r="V473" i="3"/>
  <c r="W473" i="3"/>
  <c r="A474" i="3"/>
  <c r="B474" i="3"/>
  <c r="C474" i="3"/>
  <c r="V474" i="3"/>
  <c r="W474" i="3"/>
  <c r="A475" i="3"/>
  <c r="B475" i="3"/>
  <c r="C475" i="3"/>
  <c r="V475" i="3"/>
  <c r="W475" i="3"/>
  <c r="A476" i="3"/>
  <c r="B476" i="3"/>
  <c r="C476" i="3"/>
  <c r="V476" i="3"/>
  <c r="W476" i="3"/>
  <c r="A477" i="3"/>
  <c r="B477" i="3"/>
  <c r="C477" i="3"/>
  <c r="V477" i="3"/>
  <c r="W477" i="3"/>
  <c r="A833" i="3"/>
  <c r="B833" i="3"/>
  <c r="C833" i="3"/>
  <c r="U833" i="3"/>
  <c r="V833" i="3"/>
  <c r="W833" i="3"/>
  <c r="A834" i="3"/>
  <c r="B834" i="3"/>
  <c r="C834" i="3"/>
  <c r="U834" i="3"/>
  <c r="V834" i="3"/>
  <c r="W834" i="3"/>
  <c r="A835" i="3"/>
  <c r="B835" i="3"/>
  <c r="C835" i="3"/>
  <c r="U835" i="3"/>
  <c r="V835" i="3"/>
  <c r="W835" i="3"/>
  <c r="A836" i="3"/>
  <c r="B836" i="3"/>
  <c r="C836" i="3"/>
  <c r="U836" i="3"/>
  <c r="V836" i="3"/>
  <c r="W836" i="3"/>
  <c r="A837" i="3"/>
  <c r="B837" i="3"/>
  <c r="C837" i="3"/>
  <c r="U837" i="3"/>
  <c r="V837" i="3"/>
  <c r="W837" i="3"/>
  <c r="A383" i="3"/>
  <c r="B383" i="3"/>
  <c r="C383" i="3"/>
  <c r="U383" i="3"/>
  <c r="V383" i="3"/>
  <c r="W383" i="3"/>
  <c r="A384" i="3"/>
  <c r="B384" i="3"/>
  <c r="C384" i="3"/>
  <c r="U384" i="3"/>
  <c r="V384" i="3"/>
  <c r="W384" i="3"/>
  <c r="A385" i="3"/>
  <c r="B385" i="3"/>
  <c r="C385" i="3"/>
  <c r="U385" i="3"/>
  <c r="V385" i="3"/>
  <c r="W385" i="3"/>
  <c r="A386" i="3"/>
  <c r="B386" i="3"/>
  <c r="C386" i="3"/>
  <c r="U386" i="3"/>
  <c r="V386" i="3"/>
  <c r="W386" i="3"/>
  <c r="A387" i="3"/>
  <c r="B387" i="3"/>
  <c r="C387" i="3"/>
  <c r="U387" i="3"/>
  <c r="V387" i="3"/>
  <c r="W387" i="3"/>
  <c r="A293" i="3"/>
  <c r="B293" i="3"/>
  <c r="C293" i="3"/>
  <c r="U293" i="3"/>
  <c r="V293" i="3"/>
  <c r="W293" i="3"/>
  <c r="A294" i="3"/>
  <c r="B294" i="3"/>
  <c r="C294" i="3"/>
  <c r="U294" i="3"/>
  <c r="V294" i="3"/>
  <c r="W294" i="3"/>
  <c r="A295" i="3"/>
  <c r="B295" i="3"/>
  <c r="C295" i="3"/>
  <c r="U295" i="3"/>
  <c r="V295" i="3"/>
  <c r="W295" i="3"/>
  <c r="A296" i="3"/>
  <c r="B296" i="3"/>
  <c r="C296" i="3"/>
  <c r="U296" i="3"/>
  <c r="V296" i="3"/>
  <c r="W296" i="3"/>
  <c r="A297" i="3"/>
  <c r="B297" i="3"/>
  <c r="C297" i="3"/>
  <c r="U297" i="3"/>
  <c r="V297" i="3"/>
  <c r="W297" i="3"/>
  <c r="A208" i="3"/>
  <c r="B208" i="3"/>
  <c r="C208" i="3"/>
  <c r="U208" i="3"/>
  <c r="V208" i="3"/>
  <c r="W208" i="3"/>
  <c r="A203" i="3"/>
  <c r="B203" i="3"/>
  <c r="C203" i="3"/>
  <c r="V203" i="3"/>
  <c r="W203" i="3"/>
  <c r="A204" i="3"/>
  <c r="B204" i="3"/>
  <c r="C204" i="3"/>
  <c r="V204" i="3"/>
  <c r="W204" i="3"/>
  <c r="A205" i="3"/>
  <c r="B205" i="3"/>
  <c r="C205" i="3"/>
  <c r="V205" i="3"/>
  <c r="W205" i="3"/>
  <c r="A206" i="3"/>
  <c r="B206" i="3"/>
  <c r="C206" i="3"/>
  <c r="V206" i="3"/>
  <c r="W206" i="3"/>
  <c r="A207" i="3"/>
  <c r="B207" i="3"/>
  <c r="C207" i="3"/>
  <c r="V207" i="3"/>
  <c r="W207" i="3"/>
  <c r="A1013" i="3"/>
  <c r="B1013" i="3"/>
  <c r="C1013" i="3"/>
  <c r="U1013" i="3"/>
  <c r="W1013" i="3"/>
  <c r="A1014" i="3"/>
  <c r="B1014" i="3"/>
  <c r="C1014" i="3"/>
  <c r="U1014" i="3"/>
  <c r="V1014" i="3"/>
  <c r="W1014" i="3"/>
  <c r="A1015" i="3"/>
  <c r="B1015" i="3"/>
  <c r="C1015" i="3"/>
  <c r="U1015" i="3"/>
  <c r="V1015" i="3"/>
  <c r="W1015" i="3"/>
  <c r="A1016" i="3"/>
  <c r="B1016" i="3"/>
  <c r="C1016" i="3"/>
  <c r="U1016" i="3"/>
  <c r="V1016" i="3"/>
  <c r="W1016" i="3"/>
  <c r="A1017" i="3"/>
  <c r="B1017" i="3"/>
  <c r="C1017" i="3"/>
  <c r="U1017" i="3"/>
  <c r="V1017" i="3"/>
  <c r="W1017" i="3"/>
  <c r="E206" i="3"/>
  <c r="U206" i="3" s="1"/>
  <c r="U477" i="3" l="1"/>
  <c r="U476" i="3"/>
  <c r="U475" i="3"/>
  <c r="U474" i="3"/>
  <c r="U473" i="3"/>
  <c r="G117" i="3"/>
  <c r="W117" i="3" s="1"/>
  <c r="G115" i="3"/>
  <c r="W115" i="3" s="1"/>
  <c r="F116" i="3"/>
  <c r="V116" i="3" s="1"/>
  <c r="F117" i="3"/>
  <c r="V117" i="3" s="1"/>
  <c r="F115" i="3"/>
  <c r="V115" i="3" s="1"/>
  <c r="G116" i="3"/>
  <c r="W116" i="3" s="1"/>
  <c r="E116" i="3"/>
  <c r="U116" i="3" s="1"/>
  <c r="G114" i="3"/>
  <c r="W114" i="3" s="1"/>
  <c r="G113" i="3"/>
  <c r="W113" i="3" s="1"/>
  <c r="F113" i="3"/>
  <c r="V113" i="3" s="1"/>
  <c r="V1013" i="3"/>
  <c r="F114" i="3"/>
  <c r="V114" i="3" s="1"/>
  <c r="E250" i="3"/>
  <c r="R418" i="10"/>
  <c r="R417" i="10"/>
  <c r="R419" i="10" l="1"/>
  <c r="R1163" i="10"/>
  <c r="R1162" i="10"/>
  <c r="R1153" i="10"/>
  <c r="R907" i="10" l="1"/>
  <c r="R910" i="10"/>
  <c r="R911" i="10"/>
  <c r="R908" i="10"/>
  <c r="R909" i="10"/>
  <c r="R906" i="10" l="1"/>
  <c r="R530" i="10" l="1"/>
  <c r="R1107" i="10"/>
  <c r="R589" i="10"/>
  <c r="R590" i="10"/>
  <c r="R542" i="10"/>
  <c r="R1155" i="10" l="1"/>
  <c r="R1106" i="10"/>
  <c r="R1108" i="10"/>
  <c r="R1161" i="10"/>
  <c r="R588" i="10"/>
  <c r="R1109" i="10"/>
  <c r="R1164" i="10"/>
  <c r="R1160" i="10"/>
  <c r="R1159" i="10"/>
  <c r="R1158" i="10"/>
  <c r="R1157" i="10"/>
  <c r="R1156" i="10"/>
  <c r="R1154" i="10"/>
  <c r="R587" i="10"/>
  <c r="R529" i="10"/>
  <c r="B220" i="10" l="1"/>
  <c r="B218" i="10"/>
  <c r="B215" i="10"/>
  <c r="B213" i="10"/>
  <c r="B210" i="10"/>
  <c r="B208" i="10"/>
  <c r="B205" i="10"/>
  <c r="B203" i="10"/>
  <c r="U211" i="10" l="1"/>
  <c r="V201" i="10"/>
  <c r="T211" i="10"/>
  <c r="V211" i="10"/>
  <c r="U216" i="10"/>
  <c r="T206" i="10"/>
  <c r="T216" i="10"/>
  <c r="U206" i="10"/>
  <c r="R210" i="10"/>
  <c r="R218" i="10"/>
  <c r="T201" i="10"/>
  <c r="U201" i="10"/>
  <c r="R215" i="10" l="1"/>
  <c r="R205" i="10"/>
  <c r="R212" i="10"/>
  <c r="S216" i="10"/>
  <c r="R217" i="10"/>
  <c r="R203" i="10"/>
  <c r="S201" i="10"/>
  <c r="R213" i="10"/>
  <c r="S211" i="10"/>
  <c r="R207" i="10"/>
  <c r="S206" i="10"/>
  <c r="R202" i="10"/>
  <c r="U200" i="10"/>
  <c r="R220" i="10"/>
  <c r="T200" i="10"/>
  <c r="V206" i="10"/>
  <c r="R208" i="10"/>
  <c r="V216" i="10"/>
  <c r="R211" i="10" l="1"/>
  <c r="R216" i="10"/>
  <c r="R201" i="10"/>
  <c r="S200" i="10"/>
  <c r="R206" i="10"/>
  <c r="V200" i="10"/>
  <c r="R200" i="10" l="1"/>
  <c r="A738" i="3" l="1"/>
  <c r="B738" i="3"/>
  <c r="C738" i="3"/>
  <c r="A739" i="3"/>
  <c r="B739" i="3"/>
  <c r="C739" i="3"/>
  <c r="A740" i="3"/>
  <c r="B740" i="3"/>
  <c r="C740" i="3"/>
  <c r="A741" i="3"/>
  <c r="B741" i="3"/>
  <c r="C741" i="3"/>
  <c r="A648" i="3"/>
  <c r="B648" i="3"/>
  <c r="C648" i="3"/>
  <c r="A649" i="3"/>
  <c r="B649" i="3"/>
  <c r="C649" i="3"/>
  <c r="A650" i="3"/>
  <c r="B650" i="3"/>
  <c r="C650" i="3"/>
  <c r="A651" i="3"/>
  <c r="B651" i="3"/>
  <c r="C651" i="3"/>
  <c r="A918" i="3"/>
  <c r="B918" i="3"/>
  <c r="C918" i="3"/>
  <c r="A919" i="3"/>
  <c r="B919" i="3"/>
  <c r="C919" i="3"/>
  <c r="A920" i="3"/>
  <c r="B920" i="3"/>
  <c r="C920" i="3"/>
  <c r="A558" i="3"/>
  <c r="B558" i="3"/>
  <c r="C558" i="3"/>
  <c r="A559" i="3"/>
  <c r="B559" i="3"/>
  <c r="C559" i="3"/>
  <c r="A560" i="3"/>
  <c r="B560" i="3"/>
  <c r="C560" i="3"/>
  <c r="A468" i="3"/>
  <c r="B468" i="3"/>
  <c r="C468" i="3"/>
  <c r="A469" i="3"/>
  <c r="B469" i="3"/>
  <c r="C469" i="3"/>
  <c r="A470" i="3"/>
  <c r="B470" i="3"/>
  <c r="C470" i="3"/>
  <c r="A828" i="3"/>
  <c r="B828" i="3"/>
  <c r="C828" i="3"/>
  <c r="A829" i="3"/>
  <c r="B829" i="3"/>
  <c r="C829" i="3"/>
  <c r="A830" i="3"/>
  <c r="B830" i="3"/>
  <c r="C830" i="3"/>
  <c r="A378" i="3"/>
  <c r="B378" i="3"/>
  <c r="C378" i="3"/>
  <c r="A379" i="3"/>
  <c r="B379" i="3"/>
  <c r="C379" i="3"/>
  <c r="A380" i="3"/>
  <c r="B380" i="3"/>
  <c r="C380" i="3"/>
  <c r="A288" i="3"/>
  <c r="B288" i="3"/>
  <c r="C288" i="3"/>
  <c r="A289" i="3"/>
  <c r="B289" i="3"/>
  <c r="C289" i="3"/>
  <c r="A290" i="3"/>
  <c r="B290" i="3"/>
  <c r="C290" i="3"/>
  <c r="A198" i="3"/>
  <c r="B198" i="3"/>
  <c r="C198" i="3"/>
  <c r="A199" i="3"/>
  <c r="B199" i="3"/>
  <c r="C199" i="3"/>
  <c r="A200" i="3"/>
  <c r="B200" i="3"/>
  <c r="C200" i="3"/>
  <c r="A1008" i="3"/>
  <c r="B1008" i="3"/>
  <c r="C1008" i="3"/>
  <c r="A1009" i="3"/>
  <c r="B1009" i="3"/>
  <c r="C1009" i="3"/>
  <c r="A1010" i="3"/>
  <c r="B1010" i="3"/>
  <c r="C1010" i="3"/>
  <c r="W740" i="3"/>
  <c r="V740" i="3"/>
  <c r="U740" i="3"/>
  <c r="W739" i="3"/>
  <c r="V739" i="3"/>
  <c r="U739" i="3"/>
  <c r="W738" i="3"/>
  <c r="V738" i="3"/>
  <c r="U738" i="3"/>
  <c r="W650" i="3"/>
  <c r="V650" i="3"/>
  <c r="U650" i="3"/>
  <c r="W649" i="3"/>
  <c r="V649" i="3"/>
  <c r="U649" i="3"/>
  <c r="W648" i="3"/>
  <c r="V648" i="3"/>
  <c r="U648" i="3"/>
  <c r="W920" i="3"/>
  <c r="V920" i="3"/>
  <c r="U920" i="3"/>
  <c r="W919" i="3"/>
  <c r="V919" i="3"/>
  <c r="U919" i="3"/>
  <c r="W918" i="3"/>
  <c r="V918" i="3"/>
  <c r="U918" i="3"/>
  <c r="W560" i="3"/>
  <c r="V560" i="3"/>
  <c r="U560" i="3"/>
  <c r="W559" i="3"/>
  <c r="V559" i="3"/>
  <c r="U559" i="3"/>
  <c r="W558" i="3"/>
  <c r="V558" i="3"/>
  <c r="U558" i="3"/>
  <c r="W470" i="3"/>
  <c r="V470" i="3"/>
  <c r="W469" i="3"/>
  <c r="V469" i="3"/>
  <c r="W468" i="3"/>
  <c r="V468" i="3"/>
  <c r="W830" i="3"/>
  <c r="V830" i="3"/>
  <c r="U830" i="3"/>
  <c r="W829" i="3"/>
  <c r="V829" i="3"/>
  <c r="U829" i="3"/>
  <c r="W828" i="3"/>
  <c r="V828" i="3"/>
  <c r="U828" i="3"/>
  <c r="W380" i="3"/>
  <c r="V380" i="3"/>
  <c r="U380" i="3"/>
  <c r="W379" i="3"/>
  <c r="V379" i="3"/>
  <c r="U379" i="3"/>
  <c r="W378" i="3"/>
  <c r="V378" i="3"/>
  <c r="U378" i="3"/>
  <c r="W290" i="3"/>
  <c r="V290" i="3"/>
  <c r="U290" i="3"/>
  <c r="W289" i="3"/>
  <c r="V289" i="3"/>
  <c r="U289" i="3"/>
  <c r="W288" i="3"/>
  <c r="V288" i="3"/>
  <c r="U288" i="3"/>
  <c r="W200" i="3"/>
  <c r="V200" i="3"/>
  <c r="W199" i="3"/>
  <c r="V199" i="3"/>
  <c r="W198" i="3"/>
  <c r="V198" i="3"/>
  <c r="U198" i="3"/>
  <c r="U1008" i="3"/>
  <c r="V1008" i="3"/>
  <c r="W1008" i="3"/>
  <c r="U1009" i="3"/>
  <c r="V1009" i="3"/>
  <c r="W1009" i="3"/>
  <c r="U1010" i="3"/>
  <c r="V1010" i="3"/>
  <c r="W1010" i="3"/>
  <c r="U470" i="3" l="1"/>
  <c r="U469" i="3"/>
  <c r="G110" i="3"/>
  <c r="W110" i="3" s="1"/>
  <c r="F110" i="3"/>
  <c r="V110" i="3" s="1"/>
  <c r="G109" i="3"/>
  <c r="W109" i="3" s="1"/>
  <c r="F108" i="3"/>
  <c r="V108" i="3" s="1"/>
  <c r="F109" i="3"/>
  <c r="V109" i="3" s="1"/>
  <c r="G108" i="3"/>
  <c r="W108" i="3" s="1"/>
  <c r="A8" i="3"/>
  <c r="A7" i="3"/>
  <c r="A6" i="3"/>
  <c r="A4" i="3"/>
  <c r="A3" i="3"/>
  <c r="A2" i="3"/>
  <c r="W705" i="3" l="1"/>
  <c r="W46" i="3" l="1"/>
  <c r="V46" i="3"/>
  <c r="U46" i="3"/>
  <c r="W45" i="3"/>
  <c r="V45" i="3"/>
  <c r="U45" i="3"/>
  <c r="W44" i="3"/>
  <c r="V44" i="3"/>
  <c r="U44" i="3"/>
  <c r="W43" i="3"/>
  <c r="V43" i="3"/>
  <c r="U43" i="3"/>
  <c r="W42" i="3"/>
  <c r="V42" i="3"/>
  <c r="U42" i="3"/>
  <c r="W41" i="3"/>
  <c r="V41" i="3"/>
  <c r="U41" i="3"/>
  <c r="W40" i="3"/>
  <c r="V40" i="3"/>
  <c r="U40" i="3"/>
  <c r="W39" i="3"/>
  <c r="V39" i="3"/>
  <c r="U39" i="3"/>
  <c r="W38" i="3"/>
  <c r="V38" i="3"/>
  <c r="U38" i="3"/>
  <c r="W37" i="3"/>
  <c r="V37" i="3"/>
  <c r="U37" i="3"/>
  <c r="W35" i="3"/>
  <c r="V35" i="3"/>
  <c r="U35" i="3"/>
  <c r="W34" i="3"/>
  <c r="V34" i="3"/>
  <c r="U34" i="3"/>
  <c r="W33" i="3"/>
  <c r="V33" i="3"/>
  <c r="U33" i="3"/>
  <c r="W32" i="3"/>
  <c r="V32" i="3"/>
  <c r="U32" i="3"/>
  <c r="W31" i="3"/>
  <c r="V31" i="3"/>
  <c r="U31" i="3"/>
  <c r="W30" i="3"/>
  <c r="V30" i="3"/>
  <c r="U30" i="3"/>
  <c r="W29" i="3"/>
  <c r="V29" i="3"/>
  <c r="U29" i="3"/>
  <c r="W28" i="3"/>
  <c r="V28" i="3"/>
  <c r="U28" i="3"/>
  <c r="W27" i="3"/>
  <c r="V27" i="3"/>
  <c r="W26" i="3"/>
  <c r="V26" i="3"/>
  <c r="U26" i="3"/>
  <c r="F36" i="3" l="1"/>
  <c r="V36" i="3" s="1"/>
  <c r="F25" i="3"/>
  <c r="V25" i="3" s="1"/>
  <c r="G25" i="3"/>
  <c r="W25" i="3" s="1"/>
  <c r="G36" i="3"/>
  <c r="W36" i="3" s="1"/>
  <c r="E36" i="3"/>
  <c r="U36" i="3" s="1"/>
  <c r="U27" i="3" l="1"/>
  <c r="E25" i="3" l="1"/>
  <c r="U25" i="3" s="1"/>
  <c r="H260" i="1" l="1"/>
  <c r="H258" i="1" s="1"/>
  <c r="G260" i="1"/>
  <c r="G258" i="1" s="1"/>
  <c r="D18" i="7" l="1"/>
  <c r="B144" i="10" l="1"/>
  <c r="B143" i="10"/>
  <c r="B156" i="10"/>
  <c r="B155" i="10"/>
  <c r="B152" i="10"/>
  <c r="B151" i="10"/>
  <c r="B148" i="10"/>
  <c r="B147" i="10"/>
  <c r="T141" i="10" l="1"/>
  <c r="V141" i="10"/>
  <c r="U153" i="10"/>
  <c r="U145" i="10"/>
  <c r="T145" i="10"/>
  <c r="U149" i="10"/>
  <c r="S149" i="10"/>
  <c r="T149" i="10"/>
  <c r="T153" i="10"/>
  <c r="U141" i="10"/>
  <c r="O1225" i="10"/>
  <c r="S145" i="10" l="1"/>
  <c r="R143" i="10"/>
  <c r="U140" i="10"/>
  <c r="T140" i="10"/>
  <c r="R142" i="10"/>
  <c r="R144" i="10"/>
  <c r="S153" i="10"/>
  <c r="S141" i="10"/>
  <c r="R151" i="10"/>
  <c r="S140" i="10" l="1"/>
  <c r="R141" i="10"/>
  <c r="R152" i="10"/>
  <c r="R147" i="10"/>
  <c r="R148" i="10"/>
  <c r="R155" i="10"/>
  <c r="D23" i="7" l="1"/>
  <c r="R156" i="10"/>
  <c r="R146" i="10"/>
  <c r="R145" i="10" s="1"/>
  <c r="V145" i="10"/>
  <c r="S1225" i="10" l="1"/>
  <c r="R1225" i="10" s="1"/>
  <c r="V149" i="10" l="1"/>
  <c r="R150" i="10"/>
  <c r="V153" i="10"/>
  <c r="R154" i="10"/>
  <c r="V140" i="10" l="1"/>
  <c r="R153" i="10"/>
  <c r="R149" i="10"/>
  <c r="R140" i="10" l="1"/>
  <c r="M11" i="10" l="1"/>
  <c r="O11" i="10" s="1"/>
  <c r="E197" i="3" l="1"/>
  <c r="M92" i="8"/>
  <c r="U53" i="3" l="1"/>
  <c r="R1208" i="10" l="1"/>
  <c r="W1208" i="10" s="1"/>
  <c r="U1203" i="10"/>
  <c r="C799" i="3"/>
  <c r="B799" i="3"/>
  <c r="A799" i="3"/>
  <c r="C798" i="3"/>
  <c r="B798" i="3"/>
  <c r="A798" i="3"/>
  <c r="C797" i="3"/>
  <c r="B797" i="3"/>
  <c r="A797" i="3"/>
  <c r="C796" i="3"/>
  <c r="B796" i="3"/>
  <c r="A796" i="3"/>
  <c r="C795" i="3"/>
  <c r="B795" i="3"/>
  <c r="A795" i="3"/>
  <c r="C794" i="3"/>
  <c r="B794" i="3"/>
  <c r="A794" i="3"/>
  <c r="C793" i="3"/>
  <c r="B793" i="3"/>
  <c r="A793" i="3"/>
  <c r="C792" i="3"/>
  <c r="B792" i="3"/>
  <c r="A792" i="3"/>
  <c r="C791" i="3"/>
  <c r="B791" i="3"/>
  <c r="A791" i="3"/>
  <c r="C790" i="3"/>
  <c r="B790" i="3"/>
  <c r="A790" i="3"/>
  <c r="C789" i="3"/>
  <c r="B789" i="3"/>
  <c r="A789" i="3"/>
  <c r="C788" i="3"/>
  <c r="B788" i="3"/>
  <c r="A788" i="3"/>
  <c r="C787" i="3"/>
  <c r="B787" i="3"/>
  <c r="A787" i="3"/>
  <c r="C786" i="3"/>
  <c r="B786" i="3"/>
  <c r="A786" i="3"/>
  <c r="C785" i="3"/>
  <c r="B785" i="3"/>
  <c r="A785" i="3"/>
  <c r="C784" i="3"/>
  <c r="B784" i="3"/>
  <c r="A784" i="3"/>
  <c r="C783" i="3"/>
  <c r="B783" i="3"/>
  <c r="A783" i="3"/>
  <c r="C782" i="3"/>
  <c r="B782" i="3"/>
  <c r="A782" i="3"/>
  <c r="C781" i="3"/>
  <c r="B781" i="3"/>
  <c r="A781" i="3"/>
  <c r="C780" i="3"/>
  <c r="B780" i="3"/>
  <c r="A780" i="3"/>
  <c r="C779" i="3"/>
  <c r="B779" i="3"/>
  <c r="A779" i="3"/>
  <c r="C778" i="3"/>
  <c r="B778" i="3"/>
  <c r="A778" i="3"/>
  <c r="C777" i="3"/>
  <c r="B777" i="3"/>
  <c r="A777" i="3"/>
  <c r="C776" i="3"/>
  <c r="B776" i="3"/>
  <c r="A776" i="3"/>
  <c r="C775" i="3"/>
  <c r="B775" i="3"/>
  <c r="A775" i="3"/>
  <c r="C774" i="3"/>
  <c r="B774" i="3"/>
  <c r="A774" i="3"/>
  <c r="C772" i="3"/>
  <c r="B772" i="3"/>
  <c r="A772" i="3"/>
  <c r="C771" i="3"/>
  <c r="B771" i="3"/>
  <c r="A771" i="3"/>
  <c r="C770" i="3"/>
  <c r="B770" i="3"/>
  <c r="A770" i="3"/>
  <c r="C769" i="3"/>
  <c r="B769" i="3"/>
  <c r="A769" i="3"/>
  <c r="C768" i="3"/>
  <c r="B768" i="3"/>
  <c r="A768" i="3"/>
  <c r="C767" i="3"/>
  <c r="B767" i="3"/>
  <c r="A767" i="3"/>
  <c r="C765" i="3"/>
  <c r="B765" i="3"/>
  <c r="A765" i="3"/>
  <c r="C764" i="3"/>
  <c r="B764" i="3"/>
  <c r="A764" i="3"/>
  <c r="C763" i="3"/>
  <c r="B763" i="3"/>
  <c r="A763" i="3"/>
  <c r="C762" i="3"/>
  <c r="B762" i="3"/>
  <c r="A762" i="3"/>
  <c r="C761" i="3"/>
  <c r="B761" i="3"/>
  <c r="A761" i="3"/>
  <c r="C766" i="3"/>
  <c r="B766" i="3"/>
  <c r="A766" i="3"/>
  <c r="C760" i="3"/>
  <c r="B760" i="3"/>
  <c r="A760" i="3"/>
  <c r="C759" i="3"/>
  <c r="B759" i="3"/>
  <c r="A759" i="3"/>
  <c r="C758" i="3"/>
  <c r="B758" i="3"/>
  <c r="A758" i="3"/>
  <c r="C757" i="3"/>
  <c r="B757" i="3"/>
  <c r="A757" i="3"/>
  <c r="C756" i="3"/>
  <c r="B756" i="3"/>
  <c r="A756" i="3"/>
  <c r="C755" i="3"/>
  <c r="B755" i="3"/>
  <c r="A755" i="3"/>
  <c r="C754" i="3"/>
  <c r="B754" i="3"/>
  <c r="A754" i="3"/>
  <c r="C753" i="3"/>
  <c r="B753" i="3"/>
  <c r="A753" i="3"/>
  <c r="C752" i="3"/>
  <c r="B752" i="3"/>
  <c r="A752" i="3"/>
  <c r="C751" i="3"/>
  <c r="B751" i="3"/>
  <c r="A751" i="3"/>
  <c r="C750" i="3"/>
  <c r="B750" i="3"/>
  <c r="A750" i="3"/>
  <c r="C749" i="3"/>
  <c r="B749" i="3"/>
  <c r="A749" i="3"/>
  <c r="C748" i="3"/>
  <c r="B748" i="3"/>
  <c r="A748" i="3"/>
  <c r="C742" i="3"/>
  <c r="B742" i="3"/>
  <c r="A742" i="3"/>
  <c r="C737" i="3"/>
  <c r="B737" i="3"/>
  <c r="A737" i="3"/>
  <c r="C736" i="3"/>
  <c r="B736" i="3"/>
  <c r="A736" i="3"/>
  <c r="C735" i="3"/>
  <c r="B735" i="3"/>
  <c r="A735" i="3"/>
  <c r="C734" i="3"/>
  <c r="B734" i="3"/>
  <c r="A734" i="3"/>
  <c r="C733" i="3"/>
  <c r="B733" i="3"/>
  <c r="A733" i="3"/>
  <c r="C732" i="3"/>
  <c r="B732" i="3"/>
  <c r="A732" i="3"/>
  <c r="C731" i="3"/>
  <c r="B731" i="3"/>
  <c r="A731" i="3"/>
  <c r="C730" i="3"/>
  <c r="B730" i="3"/>
  <c r="A730" i="3"/>
  <c r="C729" i="3"/>
  <c r="B729" i="3"/>
  <c r="A729" i="3"/>
  <c r="C728" i="3"/>
  <c r="B728" i="3"/>
  <c r="A728" i="3"/>
  <c r="C727" i="3"/>
  <c r="B727" i="3"/>
  <c r="A727" i="3"/>
  <c r="C726" i="3"/>
  <c r="B726" i="3"/>
  <c r="A726" i="3"/>
  <c r="C725" i="3"/>
  <c r="B725" i="3"/>
  <c r="A725" i="3"/>
  <c r="C724" i="3"/>
  <c r="B724" i="3"/>
  <c r="A724" i="3"/>
  <c r="C723" i="3"/>
  <c r="B723" i="3"/>
  <c r="A723" i="3"/>
  <c r="C722" i="3"/>
  <c r="B722" i="3"/>
  <c r="A722" i="3"/>
  <c r="C721" i="3"/>
  <c r="B721" i="3"/>
  <c r="A721" i="3"/>
  <c r="C720" i="3"/>
  <c r="B720" i="3"/>
  <c r="A720" i="3"/>
  <c r="C719" i="3"/>
  <c r="B719" i="3"/>
  <c r="A719" i="3"/>
  <c r="C718" i="3"/>
  <c r="B718" i="3"/>
  <c r="A718" i="3"/>
  <c r="C717" i="3"/>
  <c r="B717" i="3"/>
  <c r="A717" i="3"/>
  <c r="C716" i="3"/>
  <c r="B716" i="3"/>
  <c r="A716" i="3"/>
  <c r="C715" i="3"/>
  <c r="B715" i="3"/>
  <c r="A715" i="3"/>
  <c r="C714" i="3"/>
  <c r="B714" i="3"/>
  <c r="A714" i="3"/>
  <c r="C713" i="3"/>
  <c r="B713" i="3"/>
  <c r="A713" i="3"/>
  <c r="C712" i="3"/>
  <c r="B712" i="3"/>
  <c r="A712" i="3"/>
  <c r="C711" i="3"/>
  <c r="B711" i="3"/>
  <c r="A711" i="3"/>
  <c r="C709" i="3"/>
  <c r="B709" i="3"/>
  <c r="A709" i="3"/>
  <c r="C708" i="3"/>
  <c r="B708" i="3"/>
  <c r="A708" i="3"/>
  <c r="C707" i="3"/>
  <c r="B707" i="3"/>
  <c r="A707" i="3"/>
  <c r="C706" i="3"/>
  <c r="B706" i="3"/>
  <c r="A706" i="3"/>
  <c r="C705" i="3"/>
  <c r="B705" i="3"/>
  <c r="A705" i="3"/>
  <c r="C704" i="3"/>
  <c r="B704" i="3"/>
  <c r="A704" i="3"/>
  <c r="C703" i="3"/>
  <c r="B703" i="3"/>
  <c r="A703" i="3"/>
  <c r="C702" i="3"/>
  <c r="B702" i="3"/>
  <c r="A702" i="3"/>
  <c r="C701" i="3"/>
  <c r="B701" i="3"/>
  <c r="A701" i="3"/>
  <c r="C700" i="3"/>
  <c r="B700" i="3"/>
  <c r="A700" i="3"/>
  <c r="C699" i="3"/>
  <c r="B699" i="3"/>
  <c r="A699" i="3"/>
  <c r="C698" i="3"/>
  <c r="B698" i="3"/>
  <c r="A698" i="3"/>
  <c r="C697" i="3"/>
  <c r="B697" i="3"/>
  <c r="A697" i="3"/>
  <c r="C696" i="3"/>
  <c r="B696" i="3"/>
  <c r="A696" i="3"/>
  <c r="C695" i="3"/>
  <c r="B695" i="3"/>
  <c r="A695" i="3"/>
  <c r="C694" i="3"/>
  <c r="B694" i="3"/>
  <c r="A694" i="3"/>
  <c r="C693" i="3"/>
  <c r="B693" i="3"/>
  <c r="A693" i="3"/>
  <c r="C692" i="3"/>
  <c r="B692" i="3"/>
  <c r="A692" i="3"/>
  <c r="C691" i="3"/>
  <c r="B691" i="3"/>
  <c r="A691" i="3"/>
  <c r="C690" i="3"/>
  <c r="B690" i="3"/>
  <c r="A690" i="3"/>
  <c r="C689" i="3"/>
  <c r="B689" i="3"/>
  <c r="A689" i="3"/>
  <c r="C688" i="3"/>
  <c r="B688" i="3"/>
  <c r="A688" i="3"/>
  <c r="C687" i="3"/>
  <c r="B687" i="3"/>
  <c r="A687" i="3"/>
  <c r="C686" i="3"/>
  <c r="B686" i="3"/>
  <c r="A686" i="3"/>
  <c r="C685" i="3"/>
  <c r="B685" i="3"/>
  <c r="A685" i="3"/>
  <c r="C684" i="3"/>
  <c r="B684" i="3"/>
  <c r="A684" i="3"/>
  <c r="C682" i="3"/>
  <c r="B682" i="3"/>
  <c r="A682" i="3"/>
  <c r="C681" i="3"/>
  <c r="B681" i="3"/>
  <c r="A681" i="3"/>
  <c r="C680" i="3"/>
  <c r="B680" i="3"/>
  <c r="A680" i="3"/>
  <c r="C679" i="3"/>
  <c r="B679" i="3"/>
  <c r="A679" i="3"/>
  <c r="C678" i="3"/>
  <c r="B678" i="3"/>
  <c r="A678" i="3"/>
  <c r="C677" i="3"/>
  <c r="B677" i="3"/>
  <c r="A677" i="3"/>
  <c r="C675" i="3"/>
  <c r="B675" i="3"/>
  <c r="A675" i="3"/>
  <c r="C674" i="3"/>
  <c r="B674" i="3"/>
  <c r="A674" i="3"/>
  <c r="C673" i="3"/>
  <c r="B673" i="3"/>
  <c r="A673" i="3"/>
  <c r="C672" i="3"/>
  <c r="B672" i="3"/>
  <c r="A672" i="3"/>
  <c r="C671" i="3"/>
  <c r="B671" i="3"/>
  <c r="A671" i="3"/>
  <c r="C676" i="3"/>
  <c r="B676" i="3"/>
  <c r="A676" i="3"/>
  <c r="C670" i="3"/>
  <c r="B670" i="3"/>
  <c r="A670" i="3"/>
  <c r="C669" i="3"/>
  <c r="B669" i="3"/>
  <c r="A669" i="3"/>
  <c r="C668" i="3"/>
  <c r="B668" i="3"/>
  <c r="A668" i="3"/>
  <c r="C667" i="3"/>
  <c r="B667" i="3"/>
  <c r="A667" i="3"/>
  <c r="C666" i="3"/>
  <c r="B666" i="3"/>
  <c r="A666" i="3"/>
  <c r="C665" i="3"/>
  <c r="B665" i="3"/>
  <c r="A665" i="3"/>
  <c r="C664" i="3"/>
  <c r="B664" i="3"/>
  <c r="A664" i="3"/>
  <c r="C663" i="3"/>
  <c r="B663" i="3"/>
  <c r="A663" i="3"/>
  <c r="C662" i="3"/>
  <c r="B662" i="3"/>
  <c r="A662" i="3"/>
  <c r="C661" i="3"/>
  <c r="B661" i="3"/>
  <c r="A661" i="3"/>
  <c r="C660" i="3"/>
  <c r="B660" i="3"/>
  <c r="A660" i="3"/>
  <c r="C659" i="3"/>
  <c r="B659" i="3"/>
  <c r="A659" i="3"/>
  <c r="C658" i="3"/>
  <c r="B658" i="3"/>
  <c r="A658" i="3"/>
  <c r="C652" i="3"/>
  <c r="B652" i="3"/>
  <c r="A652" i="3"/>
  <c r="C647" i="3"/>
  <c r="B647" i="3"/>
  <c r="A647" i="3"/>
  <c r="C646" i="3"/>
  <c r="B646" i="3"/>
  <c r="A646" i="3"/>
  <c r="C645" i="3"/>
  <c r="B645" i="3"/>
  <c r="A645" i="3"/>
  <c r="C644" i="3"/>
  <c r="B644" i="3"/>
  <c r="A644" i="3"/>
  <c r="C643" i="3"/>
  <c r="B643" i="3"/>
  <c r="A643" i="3"/>
  <c r="C642" i="3"/>
  <c r="B642" i="3"/>
  <c r="A642" i="3"/>
  <c r="C641" i="3"/>
  <c r="B641" i="3"/>
  <c r="A641" i="3"/>
  <c r="C640" i="3"/>
  <c r="B640" i="3"/>
  <c r="A640" i="3"/>
  <c r="C639" i="3"/>
  <c r="B639" i="3"/>
  <c r="A639" i="3"/>
  <c r="C638" i="3"/>
  <c r="B638" i="3"/>
  <c r="A638" i="3"/>
  <c r="C637" i="3"/>
  <c r="B637" i="3"/>
  <c r="A637" i="3"/>
  <c r="C636" i="3"/>
  <c r="B636" i="3"/>
  <c r="A636" i="3"/>
  <c r="C635" i="3"/>
  <c r="B635" i="3"/>
  <c r="A635" i="3"/>
  <c r="C634" i="3"/>
  <c r="B634" i="3"/>
  <c r="A634" i="3"/>
  <c r="C633" i="3"/>
  <c r="B633" i="3"/>
  <c r="A633" i="3"/>
  <c r="C632" i="3"/>
  <c r="B632" i="3"/>
  <c r="A632" i="3"/>
  <c r="C631" i="3"/>
  <c r="B631" i="3"/>
  <c r="A631" i="3"/>
  <c r="C630" i="3"/>
  <c r="B630" i="3"/>
  <c r="A630" i="3"/>
  <c r="C629" i="3"/>
  <c r="B629" i="3"/>
  <c r="A629" i="3"/>
  <c r="C628" i="3"/>
  <c r="B628" i="3"/>
  <c r="A628" i="3"/>
  <c r="C627" i="3"/>
  <c r="B627" i="3"/>
  <c r="A627" i="3"/>
  <c r="C626" i="3"/>
  <c r="B626" i="3"/>
  <c r="A626" i="3"/>
  <c r="C625" i="3"/>
  <c r="B625" i="3"/>
  <c r="A625" i="3"/>
  <c r="C624" i="3"/>
  <c r="B624" i="3"/>
  <c r="A624" i="3"/>
  <c r="C623" i="3"/>
  <c r="B623" i="3"/>
  <c r="A623" i="3"/>
  <c r="C622" i="3"/>
  <c r="B622" i="3"/>
  <c r="A622" i="3"/>
  <c r="C621" i="3"/>
  <c r="B621" i="3"/>
  <c r="A621" i="3"/>
  <c r="C979" i="3"/>
  <c r="B979" i="3"/>
  <c r="C978" i="3"/>
  <c r="B978" i="3"/>
  <c r="A978" i="3"/>
  <c r="C977" i="3"/>
  <c r="B977" i="3"/>
  <c r="A977" i="3"/>
  <c r="C976" i="3"/>
  <c r="B976" i="3"/>
  <c r="A976" i="3"/>
  <c r="C975" i="3"/>
  <c r="B975" i="3"/>
  <c r="A975" i="3"/>
  <c r="C974" i="3"/>
  <c r="B974" i="3"/>
  <c r="A974" i="3"/>
  <c r="C973" i="3"/>
  <c r="B973" i="3"/>
  <c r="A973" i="3"/>
  <c r="C972" i="3"/>
  <c r="B972" i="3"/>
  <c r="A972" i="3"/>
  <c r="C971" i="3"/>
  <c r="B971" i="3"/>
  <c r="A971" i="3"/>
  <c r="C970" i="3"/>
  <c r="B970" i="3"/>
  <c r="A970" i="3"/>
  <c r="C969" i="3"/>
  <c r="B969" i="3"/>
  <c r="A969" i="3"/>
  <c r="C968" i="3"/>
  <c r="B968" i="3"/>
  <c r="A968" i="3"/>
  <c r="C967" i="3"/>
  <c r="B967" i="3"/>
  <c r="A967" i="3"/>
  <c r="B966" i="3"/>
  <c r="A966" i="3"/>
  <c r="C965" i="3"/>
  <c r="B965" i="3"/>
  <c r="A965" i="3"/>
  <c r="C964" i="3"/>
  <c r="B964" i="3"/>
  <c r="A964" i="3"/>
  <c r="C963" i="3"/>
  <c r="B963" i="3"/>
  <c r="A963" i="3"/>
  <c r="C962" i="3"/>
  <c r="B962" i="3"/>
  <c r="C961" i="3"/>
  <c r="B961" i="3"/>
  <c r="A961" i="3"/>
  <c r="C960" i="3"/>
  <c r="B960" i="3"/>
  <c r="A960" i="3"/>
  <c r="C959" i="3"/>
  <c r="B959" i="3"/>
  <c r="A959" i="3"/>
  <c r="C958" i="3"/>
  <c r="B958" i="3"/>
  <c r="A958" i="3"/>
  <c r="C957" i="3"/>
  <c r="B957" i="3"/>
  <c r="A957" i="3"/>
  <c r="C956" i="3"/>
  <c r="B956" i="3"/>
  <c r="A956" i="3"/>
  <c r="C955" i="3"/>
  <c r="B955" i="3"/>
  <c r="A955" i="3"/>
  <c r="C954" i="3"/>
  <c r="B954" i="3"/>
  <c r="A954" i="3"/>
  <c r="C952" i="3"/>
  <c r="B952" i="3"/>
  <c r="A952" i="3"/>
  <c r="C951" i="3"/>
  <c r="B951" i="3"/>
  <c r="A951" i="3"/>
  <c r="C950" i="3"/>
  <c r="B950" i="3"/>
  <c r="A950" i="3"/>
  <c r="C949" i="3"/>
  <c r="B949" i="3"/>
  <c r="A949" i="3"/>
  <c r="C948" i="3"/>
  <c r="B948" i="3"/>
  <c r="A948" i="3"/>
  <c r="C947" i="3"/>
  <c r="B947" i="3"/>
  <c r="A947" i="3"/>
  <c r="C945" i="3"/>
  <c r="B945" i="3"/>
  <c r="A945" i="3"/>
  <c r="C944" i="3"/>
  <c r="B944" i="3"/>
  <c r="A944" i="3"/>
  <c r="C943" i="3"/>
  <c r="B943" i="3"/>
  <c r="A943" i="3"/>
  <c r="C942" i="3"/>
  <c r="B942" i="3"/>
  <c r="A942" i="3"/>
  <c r="C941" i="3"/>
  <c r="B941" i="3"/>
  <c r="A941" i="3"/>
  <c r="C946" i="3"/>
  <c r="B946" i="3"/>
  <c r="A946" i="3"/>
  <c r="C940" i="3"/>
  <c r="B940" i="3"/>
  <c r="A940" i="3"/>
  <c r="C939" i="3"/>
  <c r="B939" i="3"/>
  <c r="A939" i="3"/>
  <c r="C938" i="3"/>
  <c r="B938" i="3"/>
  <c r="C937" i="3"/>
  <c r="B937" i="3"/>
  <c r="C936" i="3"/>
  <c r="B936" i="3"/>
  <c r="A936" i="3"/>
  <c r="C935" i="3"/>
  <c r="B935" i="3"/>
  <c r="A935" i="3"/>
  <c r="C934" i="3"/>
  <c r="B934" i="3"/>
  <c r="A934" i="3"/>
  <c r="C933" i="3"/>
  <c r="B933" i="3"/>
  <c r="A933" i="3"/>
  <c r="C932" i="3"/>
  <c r="B932" i="3"/>
  <c r="A932" i="3"/>
  <c r="C931" i="3"/>
  <c r="B931" i="3"/>
  <c r="A931" i="3"/>
  <c r="C930" i="3"/>
  <c r="B930" i="3"/>
  <c r="A930" i="3"/>
  <c r="C929" i="3"/>
  <c r="B929" i="3"/>
  <c r="A929" i="3"/>
  <c r="C928" i="3"/>
  <c r="B928" i="3"/>
  <c r="A928" i="3"/>
  <c r="C922" i="3"/>
  <c r="B922" i="3"/>
  <c r="A922" i="3"/>
  <c r="C921" i="3"/>
  <c r="B921" i="3"/>
  <c r="A921" i="3"/>
  <c r="C917" i="3"/>
  <c r="B917" i="3"/>
  <c r="A917" i="3"/>
  <c r="C916" i="3"/>
  <c r="B916" i="3"/>
  <c r="A916" i="3"/>
  <c r="C915" i="3"/>
  <c r="B915" i="3"/>
  <c r="A915" i="3"/>
  <c r="C914" i="3"/>
  <c r="B914" i="3"/>
  <c r="A914" i="3"/>
  <c r="C913" i="3"/>
  <c r="B913" i="3"/>
  <c r="A913" i="3"/>
  <c r="C912" i="3"/>
  <c r="B912" i="3"/>
  <c r="A912" i="3"/>
  <c r="C911" i="3"/>
  <c r="B911" i="3"/>
  <c r="A911" i="3"/>
  <c r="C910" i="3"/>
  <c r="B910" i="3"/>
  <c r="A910" i="3"/>
  <c r="C909" i="3"/>
  <c r="B909" i="3"/>
  <c r="A909" i="3"/>
  <c r="C908" i="3"/>
  <c r="B908" i="3"/>
  <c r="A908" i="3"/>
  <c r="C907" i="3"/>
  <c r="B907" i="3"/>
  <c r="A907" i="3"/>
  <c r="C906" i="3"/>
  <c r="B906" i="3"/>
  <c r="A906" i="3"/>
  <c r="C905" i="3"/>
  <c r="B905" i="3"/>
  <c r="A905" i="3"/>
  <c r="C904" i="3"/>
  <c r="B904" i="3"/>
  <c r="A904" i="3"/>
  <c r="C903" i="3"/>
  <c r="B903" i="3"/>
  <c r="A903" i="3"/>
  <c r="C902" i="3"/>
  <c r="B902" i="3"/>
  <c r="A902" i="3"/>
  <c r="C901" i="3"/>
  <c r="B901" i="3"/>
  <c r="A901" i="3"/>
  <c r="C900" i="3"/>
  <c r="B900" i="3"/>
  <c r="A900" i="3"/>
  <c r="C899" i="3"/>
  <c r="B899" i="3"/>
  <c r="A899" i="3"/>
  <c r="C898" i="3"/>
  <c r="B898" i="3"/>
  <c r="A898" i="3"/>
  <c r="C897" i="3"/>
  <c r="B897" i="3"/>
  <c r="A897" i="3"/>
  <c r="C896" i="3"/>
  <c r="B896" i="3"/>
  <c r="A896" i="3"/>
  <c r="C895" i="3"/>
  <c r="B895" i="3"/>
  <c r="A895" i="3"/>
  <c r="C894" i="3"/>
  <c r="B894" i="3"/>
  <c r="A894" i="3"/>
  <c r="C893" i="3"/>
  <c r="B893" i="3"/>
  <c r="A893" i="3"/>
  <c r="C892" i="3"/>
  <c r="B892" i="3"/>
  <c r="A892" i="3"/>
  <c r="C891" i="3"/>
  <c r="B891" i="3"/>
  <c r="A891" i="3"/>
  <c r="C619" i="3"/>
  <c r="B619" i="3"/>
  <c r="A619" i="3"/>
  <c r="C618" i="3"/>
  <c r="B618" i="3"/>
  <c r="A618" i="3"/>
  <c r="C617" i="3"/>
  <c r="B617" i="3"/>
  <c r="A617" i="3"/>
  <c r="C616" i="3"/>
  <c r="B616" i="3"/>
  <c r="A616" i="3"/>
  <c r="C615" i="3"/>
  <c r="B615" i="3"/>
  <c r="A615" i="3"/>
  <c r="C614" i="3"/>
  <c r="B614" i="3"/>
  <c r="A614" i="3"/>
  <c r="C613" i="3"/>
  <c r="B613" i="3"/>
  <c r="A613" i="3"/>
  <c r="C612" i="3"/>
  <c r="B612" i="3"/>
  <c r="A612" i="3"/>
  <c r="C611" i="3"/>
  <c r="B611" i="3"/>
  <c r="A611" i="3"/>
  <c r="C610" i="3"/>
  <c r="B610" i="3"/>
  <c r="A610" i="3"/>
  <c r="C609" i="3"/>
  <c r="B609" i="3"/>
  <c r="A609" i="3"/>
  <c r="C608" i="3"/>
  <c r="B608" i="3"/>
  <c r="A608" i="3"/>
  <c r="C607" i="3"/>
  <c r="B607" i="3"/>
  <c r="A607" i="3"/>
  <c r="C606" i="3"/>
  <c r="B606" i="3"/>
  <c r="A606" i="3"/>
  <c r="C605" i="3"/>
  <c r="B605" i="3"/>
  <c r="A605" i="3"/>
  <c r="C604" i="3"/>
  <c r="B604" i="3"/>
  <c r="A604" i="3"/>
  <c r="C603" i="3"/>
  <c r="B603" i="3"/>
  <c r="A603" i="3"/>
  <c r="C602" i="3"/>
  <c r="B602" i="3"/>
  <c r="A602" i="3"/>
  <c r="C601" i="3"/>
  <c r="B601" i="3"/>
  <c r="A601" i="3"/>
  <c r="C600" i="3"/>
  <c r="B600" i="3"/>
  <c r="A600" i="3"/>
  <c r="C599" i="3"/>
  <c r="B599" i="3"/>
  <c r="A599" i="3"/>
  <c r="C598" i="3"/>
  <c r="B598" i="3"/>
  <c r="A598" i="3"/>
  <c r="C597" i="3"/>
  <c r="B597" i="3"/>
  <c r="A597" i="3"/>
  <c r="C596" i="3"/>
  <c r="B596" i="3"/>
  <c r="A596" i="3"/>
  <c r="C595" i="3"/>
  <c r="B595" i="3"/>
  <c r="A595" i="3"/>
  <c r="C594" i="3"/>
  <c r="B594" i="3"/>
  <c r="A594" i="3"/>
  <c r="C592" i="3"/>
  <c r="B592" i="3"/>
  <c r="A592" i="3"/>
  <c r="C591" i="3"/>
  <c r="B591" i="3"/>
  <c r="A591" i="3"/>
  <c r="C590" i="3"/>
  <c r="B590" i="3"/>
  <c r="A590" i="3"/>
  <c r="C589" i="3"/>
  <c r="B589" i="3"/>
  <c r="A589" i="3"/>
  <c r="C588" i="3"/>
  <c r="B588" i="3"/>
  <c r="A588" i="3"/>
  <c r="C587" i="3"/>
  <c r="B587" i="3"/>
  <c r="A587" i="3"/>
  <c r="C585" i="3"/>
  <c r="B585" i="3"/>
  <c r="A585" i="3"/>
  <c r="C584" i="3"/>
  <c r="B584" i="3"/>
  <c r="A584" i="3"/>
  <c r="C583" i="3"/>
  <c r="B583" i="3"/>
  <c r="A583" i="3"/>
  <c r="C582" i="3"/>
  <c r="B582" i="3"/>
  <c r="A582" i="3"/>
  <c r="C581" i="3"/>
  <c r="B581" i="3"/>
  <c r="A581" i="3"/>
  <c r="C586" i="3"/>
  <c r="B586" i="3"/>
  <c r="A586" i="3"/>
  <c r="C580" i="3"/>
  <c r="B580" i="3"/>
  <c r="A580" i="3"/>
  <c r="C579" i="3"/>
  <c r="B579" i="3"/>
  <c r="A579" i="3"/>
  <c r="C578" i="3"/>
  <c r="B578" i="3"/>
  <c r="A578" i="3"/>
  <c r="C577" i="3"/>
  <c r="B577" i="3"/>
  <c r="A577" i="3"/>
  <c r="C576" i="3"/>
  <c r="B576" i="3"/>
  <c r="A576" i="3"/>
  <c r="C575" i="3"/>
  <c r="B575" i="3"/>
  <c r="A575" i="3"/>
  <c r="C574" i="3"/>
  <c r="B574" i="3"/>
  <c r="A574" i="3"/>
  <c r="C573" i="3"/>
  <c r="B573" i="3"/>
  <c r="A573" i="3"/>
  <c r="C572" i="3"/>
  <c r="B572" i="3"/>
  <c r="A572" i="3"/>
  <c r="C571" i="3"/>
  <c r="B571" i="3"/>
  <c r="A571" i="3"/>
  <c r="C570" i="3"/>
  <c r="B570" i="3"/>
  <c r="A570" i="3"/>
  <c r="C569" i="3"/>
  <c r="B569" i="3"/>
  <c r="A569" i="3"/>
  <c r="C568" i="3"/>
  <c r="B568" i="3"/>
  <c r="A568" i="3"/>
  <c r="C562" i="3"/>
  <c r="B562" i="3"/>
  <c r="A562" i="3"/>
  <c r="C561" i="3"/>
  <c r="B561" i="3"/>
  <c r="A561" i="3"/>
  <c r="C557" i="3"/>
  <c r="B557" i="3"/>
  <c r="A557" i="3"/>
  <c r="C556" i="3"/>
  <c r="B556" i="3"/>
  <c r="A556" i="3"/>
  <c r="C555" i="3"/>
  <c r="B555" i="3"/>
  <c r="A555" i="3"/>
  <c r="C554" i="3"/>
  <c r="B554" i="3"/>
  <c r="A554" i="3"/>
  <c r="C553" i="3"/>
  <c r="B553" i="3"/>
  <c r="A553" i="3"/>
  <c r="C552" i="3"/>
  <c r="B552" i="3"/>
  <c r="A552" i="3"/>
  <c r="C551" i="3"/>
  <c r="B551" i="3"/>
  <c r="A551" i="3"/>
  <c r="C550" i="3"/>
  <c r="B550" i="3"/>
  <c r="A550" i="3"/>
  <c r="C549" i="3"/>
  <c r="B549" i="3"/>
  <c r="A549" i="3"/>
  <c r="C548" i="3"/>
  <c r="B548" i="3"/>
  <c r="A548" i="3"/>
  <c r="C547" i="3"/>
  <c r="B547" i="3"/>
  <c r="A547" i="3"/>
  <c r="C546" i="3"/>
  <c r="B546" i="3"/>
  <c r="A546" i="3"/>
  <c r="C545" i="3"/>
  <c r="B545" i="3"/>
  <c r="A545" i="3"/>
  <c r="C544" i="3"/>
  <c r="B544" i="3"/>
  <c r="A544" i="3"/>
  <c r="C543" i="3"/>
  <c r="B543" i="3"/>
  <c r="A543" i="3"/>
  <c r="C542" i="3"/>
  <c r="B542" i="3"/>
  <c r="A542" i="3"/>
  <c r="C541" i="3"/>
  <c r="B541" i="3"/>
  <c r="A541" i="3"/>
  <c r="C540" i="3"/>
  <c r="B540" i="3"/>
  <c r="A540" i="3"/>
  <c r="C539" i="3"/>
  <c r="B539" i="3"/>
  <c r="A539" i="3"/>
  <c r="C538" i="3"/>
  <c r="B538" i="3"/>
  <c r="A538" i="3"/>
  <c r="C537" i="3"/>
  <c r="B537" i="3"/>
  <c r="A537" i="3"/>
  <c r="C536" i="3"/>
  <c r="B536" i="3"/>
  <c r="A536" i="3"/>
  <c r="C535" i="3"/>
  <c r="B535" i="3"/>
  <c r="A535" i="3"/>
  <c r="C534" i="3"/>
  <c r="B534" i="3"/>
  <c r="A534" i="3"/>
  <c r="C533" i="3"/>
  <c r="B533" i="3"/>
  <c r="A533" i="3"/>
  <c r="C532" i="3"/>
  <c r="B532" i="3"/>
  <c r="A532" i="3"/>
  <c r="B531" i="3"/>
  <c r="C531" i="3"/>
  <c r="A531" i="3"/>
  <c r="C529" i="3"/>
  <c r="B529" i="3"/>
  <c r="A529" i="3"/>
  <c r="C528" i="3"/>
  <c r="B528" i="3"/>
  <c r="A528" i="3"/>
  <c r="C527" i="3"/>
  <c r="B527" i="3"/>
  <c r="A527" i="3"/>
  <c r="C526" i="3"/>
  <c r="B526" i="3"/>
  <c r="A526" i="3"/>
  <c r="C525" i="3"/>
  <c r="B525" i="3"/>
  <c r="A525" i="3"/>
  <c r="C524" i="3"/>
  <c r="B524" i="3"/>
  <c r="A524" i="3"/>
  <c r="C523" i="3"/>
  <c r="B523" i="3"/>
  <c r="A523" i="3"/>
  <c r="C522" i="3"/>
  <c r="B522" i="3"/>
  <c r="A522" i="3"/>
  <c r="C521" i="3"/>
  <c r="B521" i="3"/>
  <c r="A521" i="3"/>
  <c r="C520" i="3"/>
  <c r="B520" i="3"/>
  <c r="A520" i="3"/>
  <c r="C519" i="3"/>
  <c r="B519" i="3"/>
  <c r="A519" i="3"/>
  <c r="C518" i="3"/>
  <c r="B518" i="3"/>
  <c r="A518" i="3"/>
  <c r="C517" i="3"/>
  <c r="B517" i="3"/>
  <c r="A517" i="3"/>
  <c r="C516" i="3"/>
  <c r="B516" i="3"/>
  <c r="A516" i="3"/>
  <c r="C515" i="3"/>
  <c r="B515" i="3"/>
  <c r="A515" i="3"/>
  <c r="C514" i="3"/>
  <c r="B514" i="3"/>
  <c r="A514" i="3"/>
  <c r="C513" i="3"/>
  <c r="B513" i="3"/>
  <c r="A513" i="3"/>
  <c r="C512" i="3"/>
  <c r="B512" i="3"/>
  <c r="A512" i="3"/>
  <c r="C511" i="3"/>
  <c r="B511" i="3"/>
  <c r="A511" i="3"/>
  <c r="C510" i="3"/>
  <c r="B510" i="3"/>
  <c r="A510" i="3"/>
  <c r="C509" i="3"/>
  <c r="B509" i="3"/>
  <c r="A509" i="3"/>
  <c r="C508" i="3"/>
  <c r="B508" i="3"/>
  <c r="A508" i="3"/>
  <c r="C507" i="3"/>
  <c r="B507" i="3"/>
  <c r="A507" i="3"/>
  <c r="C506" i="3"/>
  <c r="B506" i="3"/>
  <c r="A506" i="3"/>
  <c r="C505" i="3"/>
  <c r="B505" i="3"/>
  <c r="A505" i="3"/>
  <c r="C504" i="3"/>
  <c r="B504" i="3"/>
  <c r="A504" i="3"/>
  <c r="C502" i="3"/>
  <c r="B502" i="3"/>
  <c r="A502" i="3"/>
  <c r="C501" i="3"/>
  <c r="B501" i="3"/>
  <c r="A501" i="3"/>
  <c r="C500" i="3"/>
  <c r="B500" i="3"/>
  <c r="A500" i="3"/>
  <c r="C499" i="3"/>
  <c r="B499" i="3"/>
  <c r="A499" i="3"/>
  <c r="C498" i="3"/>
  <c r="B498" i="3"/>
  <c r="A498" i="3"/>
  <c r="C497" i="3"/>
  <c r="B497" i="3"/>
  <c r="A497" i="3"/>
  <c r="C495" i="3"/>
  <c r="B495" i="3"/>
  <c r="A495" i="3"/>
  <c r="C494" i="3"/>
  <c r="B494" i="3"/>
  <c r="A494" i="3"/>
  <c r="C493" i="3"/>
  <c r="B493" i="3"/>
  <c r="A493" i="3"/>
  <c r="C492" i="3"/>
  <c r="B492" i="3"/>
  <c r="A492" i="3"/>
  <c r="C491" i="3"/>
  <c r="B491" i="3"/>
  <c r="A491" i="3"/>
  <c r="C496" i="3"/>
  <c r="B496" i="3"/>
  <c r="A496" i="3"/>
  <c r="C490" i="3"/>
  <c r="B490" i="3"/>
  <c r="A490" i="3"/>
  <c r="C489" i="3"/>
  <c r="B489" i="3"/>
  <c r="A489" i="3"/>
  <c r="C488" i="3"/>
  <c r="B488" i="3"/>
  <c r="A488" i="3"/>
  <c r="C487" i="3"/>
  <c r="B487" i="3"/>
  <c r="A487" i="3"/>
  <c r="C486" i="3"/>
  <c r="B486" i="3"/>
  <c r="A486" i="3"/>
  <c r="C485" i="3"/>
  <c r="B485" i="3"/>
  <c r="A485" i="3"/>
  <c r="C484" i="3"/>
  <c r="B484" i="3"/>
  <c r="A484" i="3"/>
  <c r="C483" i="3"/>
  <c r="B483" i="3"/>
  <c r="A483" i="3"/>
  <c r="C482" i="3"/>
  <c r="B482" i="3"/>
  <c r="A482" i="3"/>
  <c r="C481" i="3"/>
  <c r="B481" i="3"/>
  <c r="A481" i="3"/>
  <c r="C480" i="3"/>
  <c r="B480" i="3"/>
  <c r="A480" i="3"/>
  <c r="C479" i="3"/>
  <c r="B479" i="3"/>
  <c r="A479" i="3"/>
  <c r="C478" i="3"/>
  <c r="B478" i="3"/>
  <c r="A478" i="3"/>
  <c r="C472" i="3"/>
  <c r="B472" i="3"/>
  <c r="A472" i="3"/>
  <c r="C471" i="3"/>
  <c r="B471" i="3"/>
  <c r="A471" i="3"/>
  <c r="C467" i="3"/>
  <c r="B467" i="3"/>
  <c r="A467" i="3"/>
  <c r="C466" i="3"/>
  <c r="B466" i="3"/>
  <c r="A466" i="3"/>
  <c r="C465" i="3"/>
  <c r="B465" i="3"/>
  <c r="A465" i="3"/>
  <c r="C464" i="3"/>
  <c r="B464" i="3"/>
  <c r="A464" i="3"/>
  <c r="C463" i="3"/>
  <c r="B463" i="3"/>
  <c r="A463" i="3"/>
  <c r="C462" i="3"/>
  <c r="B462" i="3"/>
  <c r="A462" i="3"/>
  <c r="C461" i="3"/>
  <c r="B461" i="3"/>
  <c r="A461" i="3"/>
  <c r="C460" i="3"/>
  <c r="B460" i="3"/>
  <c r="A460" i="3"/>
  <c r="C459" i="3"/>
  <c r="B459" i="3"/>
  <c r="A459" i="3"/>
  <c r="C458" i="3"/>
  <c r="B458" i="3"/>
  <c r="A458" i="3"/>
  <c r="C457" i="3"/>
  <c r="B457" i="3"/>
  <c r="A457" i="3"/>
  <c r="C456" i="3"/>
  <c r="B456" i="3"/>
  <c r="A456" i="3"/>
  <c r="C455" i="3"/>
  <c r="B455" i="3"/>
  <c r="A455" i="3"/>
  <c r="C454" i="3"/>
  <c r="B454" i="3"/>
  <c r="A454" i="3"/>
  <c r="C453" i="3"/>
  <c r="B453" i="3"/>
  <c r="A453" i="3"/>
  <c r="C452" i="3"/>
  <c r="B452" i="3"/>
  <c r="A452" i="3"/>
  <c r="C451" i="3"/>
  <c r="B451" i="3"/>
  <c r="A451" i="3"/>
  <c r="C450" i="3"/>
  <c r="B450" i="3"/>
  <c r="A450" i="3"/>
  <c r="C449" i="3"/>
  <c r="B449" i="3"/>
  <c r="A449" i="3"/>
  <c r="C448" i="3"/>
  <c r="B448" i="3"/>
  <c r="A448" i="3"/>
  <c r="C447" i="3"/>
  <c r="B447" i="3"/>
  <c r="A447" i="3"/>
  <c r="C446" i="3"/>
  <c r="B446" i="3"/>
  <c r="A446" i="3"/>
  <c r="C445" i="3"/>
  <c r="B445" i="3"/>
  <c r="A445" i="3"/>
  <c r="C444" i="3"/>
  <c r="B444" i="3"/>
  <c r="A444" i="3"/>
  <c r="C443" i="3"/>
  <c r="B443" i="3"/>
  <c r="A443" i="3"/>
  <c r="C442" i="3"/>
  <c r="B442" i="3"/>
  <c r="A442" i="3"/>
  <c r="B441" i="3"/>
  <c r="C441" i="3"/>
  <c r="A441" i="3"/>
  <c r="C889" i="3"/>
  <c r="B889" i="3"/>
  <c r="A889" i="3"/>
  <c r="C888" i="3"/>
  <c r="B888" i="3"/>
  <c r="A888" i="3"/>
  <c r="C887" i="3"/>
  <c r="B887" i="3"/>
  <c r="A887" i="3"/>
  <c r="C886" i="3"/>
  <c r="B886" i="3"/>
  <c r="A886" i="3"/>
  <c r="C885" i="3"/>
  <c r="B885" i="3"/>
  <c r="A885" i="3"/>
  <c r="C884" i="3"/>
  <c r="B884" i="3"/>
  <c r="A884" i="3"/>
  <c r="C883" i="3"/>
  <c r="B883" i="3"/>
  <c r="A883" i="3"/>
  <c r="C882" i="3"/>
  <c r="B882" i="3"/>
  <c r="A882" i="3"/>
  <c r="C881" i="3"/>
  <c r="B881" i="3"/>
  <c r="A881" i="3"/>
  <c r="C880" i="3"/>
  <c r="B880" i="3"/>
  <c r="A880" i="3"/>
  <c r="C879" i="3"/>
  <c r="B879" i="3"/>
  <c r="A879" i="3"/>
  <c r="C878" i="3"/>
  <c r="B878" i="3"/>
  <c r="A878" i="3"/>
  <c r="C877" i="3"/>
  <c r="B877" i="3"/>
  <c r="A877" i="3"/>
  <c r="C876" i="3"/>
  <c r="B876" i="3"/>
  <c r="A876" i="3"/>
  <c r="C875" i="3"/>
  <c r="B875" i="3"/>
  <c r="A875" i="3"/>
  <c r="C874" i="3"/>
  <c r="B874" i="3"/>
  <c r="A874" i="3"/>
  <c r="C873" i="3"/>
  <c r="B873" i="3"/>
  <c r="A873" i="3"/>
  <c r="C872" i="3"/>
  <c r="B872" i="3"/>
  <c r="A872" i="3"/>
  <c r="C871" i="3"/>
  <c r="B871" i="3"/>
  <c r="A871" i="3"/>
  <c r="C870" i="3"/>
  <c r="B870" i="3"/>
  <c r="A870" i="3"/>
  <c r="C869" i="3"/>
  <c r="B869" i="3"/>
  <c r="A869" i="3"/>
  <c r="C868" i="3"/>
  <c r="B868" i="3"/>
  <c r="A868" i="3"/>
  <c r="C867" i="3"/>
  <c r="B867" i="3"/>
  <c r="A867" i="3"/>
  <c r="C866" i="3"/>
  <c r="B866" i="3"/>
  <c r="A866" i="3"/>
  <c r="C865" i="3"/>
  <c r="B865" i="3"/>
  <c r="A865" i="3"/>
  <c r="C864" i="3"/>
  <c r="B864" i="3"/>
  <c r="A864" i="3"/>
  <c r="C862" i="3"/>
  <c r="B862" i="3"/>
  <c r="A862" i="3"/>
  <c r="C861" i="3"/>
  <c r="B861" i="3"/>
  <c r="A861" i="3"/>
  <c r="C860" i="3"/>
  <c r="B860" i="3"/>
  <c r="A860" i="3"/>
  <c r="C859" i="3"/>
  <c r="B859" i="3"/>
  <c r="A859" i="3"/>
  <c r="C858" i="3"/>
  <c r="B858" i="3"/>
  <c r="A858" i="3"/>
  <c r="C857" i="3"/>
  <c r="B857" i="3"/>
  <c r="A857" i="3"/>
  <c r="C855" i="3"/>
  <c r="B855" i="3"/>
  <c r="A855" i="3"/>
  <c r="C854" i="3"/>
  <c r="B854" i="3"/>
  <c r="A854" i="3"/>
  <c r="C853" i="3"/>
  <c r="B853" i="3"/>
  <c r="A853" i="3"/>
  <c r="C852" i="3"/>
  <c r="B852" i="3"/>
  <c r="A852" i="3"/>
  <c r="C851" i="3"/>
  <c r="B851" i="3"/>
  <c r="A851" i="3"/>
  <c r="C856" i="3"/>
  <c r="B856" i="3"/>
  <c r="A856" i="3"/>
  <c r="C850" i="3"/>
  <c r="B850" i="3"/>
  <c r="A850" i="3"/>
  <c r="C849" i="3"/>
  <c r="B849" i="3"/>
  <c r="A849" i="3"/>
  <c r="C848" i="3"/>
  <c r="B848" i="3"/>
  <c r="A848" i="3"/>
  <c r="C847" i="3"/>
  <c r="B847" i="3"/>
  <c r="A847" i="3"/>
  <c r="C846" i="3"/>
  <c r="B846" i="3"/>
  <c r="A846" i="3"/>
  <c r="C845" i="3"/>
  <c r="B845" i="3"/>
  <c r="A845" i="3"/>
  <c r="C844" i="3"/>
  <c r="B844" i="3"/>
  <c r="A844" i="3"/>
  <c r="C843" i="3"/>
  <c r="B843" i="3"/>
  <c r="A843" i="3"/>
  <c r="C842" i="3"/>
  <c r="B842" i="3"/>
  <c r="A842" i="3"/>
  <c r="C841" i="3"/>
  <c r="B841" i="3"/>
  <c r="A841" i="3"/>
  <c r="C840" i="3"/>
  <c r="B840" i="3"/>
  <c r="A840" i="3"/>
  <c r="C839" i="3"/>
  <c r="B839" i="3"/>
  <c r="A839" i="3"/>
  <c r="C838" i="3"/>
  <c r="B838" i="3"/>
  <c r="A838" i="3"/>
  <c r="C832" i="3"/>
  <c r="B832" i="3"/>
  <c r="A832" i="3"/>
  <c r="C831" i="3"/>
  <c r="B831" i="3"/>
  <c r="A831" i="3"/>
  <c r="C827" i="3"/>
  <c r="B827" i="3"/>
  <c r="A827" i="3"/>
  <c r="C826" i="3"/>
  <c r="B826" i="3"/>
  <c r="A826" i="3"/>
  <c r="C825" i="3"/>
  <c r="B825" i="3"/>
  <c r="A825" i="3"/>
  <c r="C824" i="3"/>
  <c r="B824" i="3"/>
  <c r="A824" i="3"/>
  <c r="C823" i="3"/>
  <c r="B823" i="3"/>
  <c r="A823" i="3"/>
  <c r="C822" i="3"/>
  <c r="B822" i="3"/>
  <c r="A822" i="3"/>
  <c r="C821" i="3"/>
  <c r="B821" i="3"/>
  <c r="A821" i="3"/>
  <c r="C820" i="3"/>
  <c r="B820" i="3"/>
  <c r="A820" i="3"/>
  <c r="C819" i="3"/>
  <c r="B819" i="3"/>
  <c r="A819" i="3"/>
  <c r="C818" i="3"/>
  <c r="B818" i="3"/>
  <c r="A818" i="3"/>
  <c r="C817" i="3"/>
  <c r="B817" i="3"/>
  <c r="A817" i="3"/>
  <c r="C816" i="3"/>
  <c r="B816" i="3"/>
  <c r="A816" i="3"/>
  <c r="C815" i="3"/>
  <c r="B815" i="3"/>
  <c r="A815" i="3"/>
  <c r="C814" i="3"/>
  <c r="B814" i="3"/>
  <c r="A814" i="3"/>
  <c r="C813" i="3"/>
  <c r="B813" i="3"/>
  <c r="A813" i="3"/>
  <c r="C812" i="3"/>
  <c r="B812" i="3"/>
  <c r="A812" i="3"/>
  <c r="C811" i="3"/>
  <c r="B811" i="3"/>
  <c r="A811" i="3"/>
  <c r="C810" i="3"/>
  <c r="B810" i="3"/>
  <c r="A810" i="3"/>
  <c r="C809" i="3"/>
  <c r="B809" i="3"/>
  <c r="A809" i="3"/>
  <c r="C808" i="3"/>
  <c r="B808" i="3"/>
  <c r="A808" i="3"/>
  <c r="C807" i="3"/>
  <c r="B807" i="3"/>
  <c r="A807" i="3"/>
  <c r="C806" i="3"/>
  <c r="B806" i="3"/>
  <c r="A806" i="3"/>
  <c r="C805" i="3"/>
  <c r="B805" i="3"/>
  <c r="A805" i="3"/>
  <c r="C804" i="3"/>
  <c r="B804" i="3"/>
  <c r="A804" i="3"/>
  <c r="C803" i="3"/>
  <c r="B803" i="3"/>
  <c r="A803" i="3"/>
  <c r="C802" i="3"/>
  <c r="B802" i="3"/>
  <c r="A802" i="3"/>
  <c r="B801" i="3"/>
  <c r="C801" i="3"/>
  <c r="A801" i="3"/>
  <c r="C439" i="3"/>
  <c r="B439" i="3"/>
  <c r="A439" i="3"/>
  <c r="C438" i="3"/>
  <c r="B438" i="3"/>
  <c r="A438" i="3"/>
  <c r="C437" i="3"/>
  <c r="B437" i="3"/>
  <c r="A437" i="3"/>
  <c r="C436" i="3"/>
  <c r="B436" i="3"/>
  <c r="A436" i="3"/>
  <c r="C435" i="3"/>
  <c r="B435" i="3"/>
  <c r="A435" i="3"/>
  <c r="C434" i="3"/>
  <c r="B434" i="3"/>
  <c r="A434" i="3"/>
  <c r="C433" i="3"/>
  <c r="B433" i="3"/>
  <c r="A433" i="3"/>
  <c r="C432" i="3"/>
  <c r="B432" i="3"/>
  <c r="A432" i="3"/>
  <c r="C431" i="3"/>
  <c r="B431" i="3"/>
  <c r="A431" i="3"/>
  <c r="C430" i="3"/>
  <c r="B430" i="3"/>
  <c r="A430" i="3"/>
  <c r="C429" i="3"/>
  <c r="B429" i="3"/>
  <c r="A429" i="3"/>
  <c r="C428" i="3"/>
  <c r="B428" i="3"/>
  <c r="A428" i="3"/>
  <c r="C427" i="3"/>
  <c r="B427" i="3"/>
  <c r="A427" i="3"/>
  <c r="B426" i="3"/>
  <c r="A426" i="3"/>
  <c r="C425" i="3"/>
  <c r="B425" i="3"/>
  <c r="A425" i="3"/>
  <c r="C424" i="3"/>
  <c r="B424" i="3"/>
  <c r="A424" i="3"/>
  <c r="C423" i="3"/>
  <c r="B423" i="3"/>
  <c r="A423" i="3"/>
  <c r="C422" i="3"/>
  <c r="B422" i="3"/>
  <c r="A422" i="3"/>
  <c r="C421" i="3"/>
  <c r="B421" i="3"/>
  <c r="A421" i="3"/>
  <c r="C420" i="3"/>
  <c r="B420" i="3"/>
  <c r="A420" i="3"/>
  <c r="C419" i="3"/>
  <c r="B419" i="3"/>
  <c r="A419" i="3"/>
  <c r="C418" i="3"/>
  <c r="B418" i="3"/>
  <c r="A418" i="3"/>
  <c r="C417" i="3"/>
  <c r="B417" i="3"/>
  <c r="A417" i="3"/>
  <c r="C416" i="3"/>
  <c r="B416" i="3"/>
  <c r="A416" i="3"/>
  <c r="C415" i="3"/>
  <c r="B415" i="3"/>
  <c r="A415" i="3"/>
  <c r="C414" i="3"/>
  <c r="B414" i="3"/>
  <c r="A414" i="3"/>
  <c r="C412" i="3"/>
  <c r="B412" i="3"/>
  <c r="A412" i="3"/>
  <c r="C411" i="3"/>
  <c r="B411" i="3"/>
  <c r="A411" i="3"/>
  <c r="C410" i="3"/>
  <c r="B410" i="3"/>
  <c r="A410" i="3"/>
  <c r="C409" i="3"/>
  <c r="B409" i="3"/>
  <c r="A409" i="3"/>
  <c r="C408" i="3"/>
  <c r="B408" i="3"/>
  <c r="A408" i="3"/>
  <c r="C407" i="3"/>
  <c r="B407" i="3"/>
  <c r="A407" i="3"/>
  <c r="C405" i="3"/>
  <c r="B405" i="3"/>
  <c r="A405" i="3"/>
  <c r="C404" i="3"/>
  <c r="B404" i="3"/>
  <c r="A404" i="3"/>
  <c r="C403" i="3"/>
  <c r="B403" i="3"/>
  <c r="A403" i="3"/>
  <c r="C402" i="3"/>
  <c r="B402" i="3"/>
  <c r="A402" i="3"/>
  <c r="C401" i="3"/>
  <c r="B401" i="3"/>
  <c r="A401" i="3"/>
  <c r="C406" i="3"/>
  <c r="B406" i="3"/>
  <c r="A406" i="3"/>
  <c r="C400" i="3"/>
  <c r="B400" i="3"/>
  <c r="A400" i="3"/>
  <c r="C399" i="3"/>
  <c r="B399" i="3"/>
  <c r="A399" i="3"/>
  <c r="C398" i="3"/>
  <c r="B398" i="3"/>
  <c r="A398" i="3"/>
  <c r="C397" i="3"/>
  <c r="B397" i="3"/>
  <c r="A397" i="3"/>
  <c r="C396" i="3"/>
  <c r="B396" i="3"/>
  <c r="A396" i="3"/>
  <c r="C395" i="3"/>
  <c r="B395" i="3"/>
  <c r="A395" i="3"/>
  <c r="C394" i="3"/>
  <c r="B394" i="3"/>
  <c r="A394" i="3"/>
  <c r="C393" i="3"/>
  <c r="B393" i="3"/>
  <c r="A393" i="3"/>
  <c r="C392" i="3"/>
  <c r="B392" i="3"/>
  <c r="A392" i="3"/>
  <c r="C391" i="3"/>
  <c r="B391" i="3"/>
  <c r="A391" i="3"/>
  <c r="C390" i="3"/>
  <c r="B390" i="3"/>
  <c r="A390" i="3"/>
  <c r="C389" i="3"/>
  <c r="B389" i="3"/>
  <c r="A389" i="3"/>
  <c r="C388" i="3"/>
  <c r="B388" i="3"/>
  <c r="A388" i="3"/>
  <c r="C382" i="3"/>
  <c r="B382" i="3"/>
  <c r="A382" i="3"/>
  <c r="C381" i="3"/>
  <c r="B381" i="3"/>
  <c r="A381" i="3"/>
  <c r="C377" i="3"/>
  <c r="B377" i="3"/>
  <c r="A377" i="3"/>
  <c r="C376" i="3"/>
  <c r="B376" i="3"/>
  <c r="A376" i="3"/>
  <c r="C375" i="3"/>
  <c r="B375" i="3"/>
  <c r="A375" i="3"/>
  <c r="C374" i="3"/>
  <c r="B374" i="3"/>
  <c r="A374" i="3"/>
  <c r="C373" i="3"/>
  <c r="B373" i="3"/>
  <c r="A373" i="3"/>
  <c r="C372" i="3"/>
  <c r="B372" i="3"/>
  <c r="A372" i="3"/>
  <c r="C371" i="3"/>
  <c r="B371" i="3"/>
  <c r="A371" i="3"/>
  <c r="C370" i="3"/>
  <c r="B370" i="3"/>
  <c r="A370" i="3"/>
  <c r="C369" i="3"/>
  <c r="B369" i="3"/>
  <c r="A369" i="3"/>
  <c r="C368" i="3"/>
  <c r="B368" i="3"/>
  <c r="A368" i="3"/>
  <c r="C367" i="3"/>
  <c r="B367" i="3"/>
  <c r="A367" i="3"/>
  <c r="C366" i="3"/>
  <c r="B366" i="3"/>
  <c r="A366" i="3"/>
  <c r="C365" i="3"/>
  <c r="B365" i="3"/>
  <c r="A365" i="3"/>
  <c r="C364" i="3"/>
  <c r="B364" i="3"/>
  <c r="A364" i="3"/>
  <c r="C363" i="3"/>
  <c r="B363" i="3"/>
  <c r="A363" i="3"/>
  <c r="C362" i="3"/>
  <c r="B362" i="3"/>
  <c r="A362" i="3"/>
  <c r="C361" i="3"/>
  <c r="B361" i="3"/>
  <c r="A361" i="3"/>
  <c r="C360" i="3"/>
  <c r="B360" i="3"/>
  <c r="A360" i="3"/>
  <c r="C359" i="3"/>
  <c r="B359" i="3"/>
  <c r="A359" i="3"/>
  <c r="C358" i="3"/>
  <c r="B358" i="3"/>
  <c r="A358" i="3"/>
  <c r="C357" i="3"/>
  <c r="B357" i="3"/>
  <c r="A357" i="3"/>
  <c r="C356" i="3"/>
  <c r="B356" i="3"/>
  <c r="A356" i="3"/>
  <c r="C355" i="3"/>
  <c r="B355" i="3"/>
  <c r="A355" i="3"/>
  <c r="C354" i="3"/>
  <c r="B354" i="3"/>
  <c r="A354" i="3"/>
  <c r="C353" i="3"/>
  <c r="B353" i="3"/>
  <c r="A353" i="3"/>
  <c r="C352" i="3"/>
  <c r="B352" i="3"/>
  <c r="A352" i="3"/>
  <c r="C351" i="3"/>
  <c r="B351" i="3"/>
  <c r="C349" i="3"/>
  <c r="B349" i="3"/>
  <c r="A349" i="3"/>
  <c r="C348" i="3"/>
  <c r="B348" i="3"/>
  <c r="A348" i="3"/>
  <c r="C347" i="3"/>
  <c r="B347" i="3"/>
  <c r="A347" i="3"/>
  <c r="C346" i="3"/>
  <c r="B346" i="3"/>
  <c r="A346" i="3"/>
  <c r="C345" i="3"/>
  <c r="B345" i="3"/>
  <c r="A345" i="3"/>
  <c r="C344" i="3"/>
  <c r="B344" i="3"/>
  <c r="A344" i="3"/>
  <c r="C343" i="3"/>
  <c r="B343" i="3"/>
  <c r="A343" i="3"/>
  <c r="C342" i="3"/>
  <c r="B342" i="3"/>
  <c r="A342" i="3"/>
  <c r="C341" i="3"/>
  <c r="B341" i="3"/>
  <c r="A341" i="3"/>
  <c r="C340" i="3"/>
  <c r="B340" i="3"/>
  <c r="A340" i="3"/>
  <c r="C339" i="3"/>
  <c r="B339" i="3"/>
  <c r="A339" i="3"/>
  <c r="C338" i="3"/>
  <c r="B338" i="3"/>
  <c r="A338" i="3"/>
  <c r="C337" i="3"/>
  <c r="B337" i="3"/>
  <c r="A337" i="3"/>
  <c r="C336" i="3"/>
  <c r="B336" i="3"/>
  <c r="A336" i="3"/>
  <c r="C335" i="3"/>
  <c r="B335" i="3"/>
  <c r="A335" i="3"/>
  <c r="C334" i="3"/>
  <c r="B334" i="3"/>
  <c r="A334" i="3"/>
  <c r="C333" i="3"/>
  <c r="B333" i="3"/>
  <c r="A333" i="3"/>
  <c r="C332" i="3"/>
  <c r="B332" i="3"/>
  <c r="A332" i="3"/>
  <c r="C331" i="3"/>
  <c r="B331" i="3"/>
  <c r="A331" i="3"/>
  <c r="C330" i="3"/>
  <c r="B330" i="3"/>
  <c r="A330" i="3"/>
  <c r="C329" i="3"/>
  <c r="B329" i="3"/>
  <c r="A329" i="3"/>
  <c r="C328" i="3"/>
  <c r="B328" i="3"/>
  <c r="A328" i="3"/>
  <c r="C327" i="3"/>
  <c r="B327" i="3"/>
  <c r="A327" i="3"/>
  <c r="C326" i="3"/>
  <c r="B326" i="3"/>
  <c r="A326" i="3"/>
  <c r="C325" i="3"/>
  <c r="B325" i="3"/>
  <c r="A325" i="3"/>
  <c r="C324" i="3"/>
  <c r="B324" i="3"/>
  <c r="A324" i="3"/>
  <c r="C322" i="3"/>
  <c r="B322" i="3"/>
  <c r="A322" i="3"/>
  <c r="C321" i="3"/>
  <c r="B321" i="3"/>
  <c r="A321" i="3"/>
  <c r="C320" i="3"/>
  <c r="B320" i="3"/>
  <c r="A320" i="3"/>
  <c r="C319" i="3"/>
  <c r="B319" i="3"/>
  <c r="A319" i="3"/>
  <c r="C318" i="3"/>
  <c r="B318" i="3"/>
  <c r="A318" i="3"/>
  <c r="C317" i="3"/>
  <c r="B317" i="3"/>
  <c r="A317" i="3"/>
  <c r="C315" i="3"/>
  <c r="B315" i="3"/>
  <c r="A315" i="3"/>
  <c r="C314" i="3"/>
  <c r="B314" i="3"/>
  <c r="A314" i="3"/>
  <c r="C313" i="3"/>
  <c r="B313" i="3"/>
  <c r="A313" i="3"/>
  <c r="C312" i="3"/>
  <c r="B312" i="3"/>
  <c r="A312" i="3"/>
  <c r="C311" i="3"/>
  <c r="B311" i="3"/>
  <c r="A311" i="3"/>
  <c r="C316" i="3"/>
  <c r="B316" i="3"/>
  <c r="A316" i="3"/>
  <c r="C310" i="3"/>
  <c r="B310" i="3"/>
  <c r="A310" i="3"/>
  <c r="C309" i="3"/>
  <c r="B309" i="3"/>
  <c r="A309" i="3"/>
  <c r="C308" i="3"/>
  <c r="B308" i="3"/>
  <c r="A308" i="3"/>
  <c r="C307" i="3"/>
  <c r="B307" i="3"/>
  <c r="A307" i="3"/>
  <c r="C306" i="3"/>
  <c r="B306" i="3"/>
  <c r="A306" i="3"/>
  <c r="C305" i="3"/>
  <c r="B305" i="3"/>
  <c r="A305" i="3"/>
  <c r="C304" i="3"/>
  <c r="B304" i="3"/>
  <c r="A304" i="3"/>
  <c r="C303" i="3"/>
  <c r="B303" i="3"/>
  <c r="A303" i="3"/>
  <c r="C302" i="3"/>
  <c r="B302" i="3"/>
  <c r="A302" i="3"/>
  <c r="C301" i="3"/>
  <c r="B301" i="3"/>
  <c r="A301" i="3"/>
  <c r="C300" i="3"/>
  <c r="B300" i="3"/>
  <c r="A300" i="3"/>
  <c r="C299" i="3"/>
  <c r="B299" i="3"/>
  <c r="A299" i="3"/>
  <c r="C298" i="3"/>
  <c r="B298" i="3"/>
  <c r="A298" i="3"/>
  <c r="C292" i="3"/>
  <c r="B292" i="3"/>
  <c r="A292" i="3"/>
  <c r="C291" i="3"/>
  <c r="B291" i="3"/>
  <c r="A291" i="3"/>
  <c r="C287" i="3"/>
  <c r="B287" i="3"/>
  <c r="A287" i="3"/>
  <c r="C286" i="3"/>
  <c r="B286" i="3"/>
  <c r="A286" i="3"/>
  <c r="C285" i="3"/>
  <c r="B285" i="3"/>
  <c r="A285" i="3"/>
  <c r="C284" i="3"/>
  <c r="B284" i="3"/>
  <c r="A284" i="3"/>
  <c r="C283" i="3"/>
  <c r="B283" i="3"/>
  <c r="A283" i="3"/>
  <c r="C282" i="3"/>
  <c r="B282" i="3"/>
  <c r="A282" i="3"/>
  <c r="C281" i="3"/>
  <c r="B281" i="3"/>
  <c r="A281" i="3"/>
  <c r="C280" i="3"/>
  <c r="B280" i="3"/>
  <c r="A280" i="3"/>
  <c r="C279" i="3"/>
  <c r="B279" i="3"/>
  <c r="A279" i="3"/>
  <c r="C278" i="3"/>
  <c r="B278" i="3"/>
  <c r="A278" i="3"/>
  <c r="C277" i="3"/>
  <c r="B277" i="3"/>
  <c r="A277" i="3"/>
  <c r="C276" i="3"/>
  <c r="B276" i="3"/>
  <c r="A276" i="3"/>
  <c r="C275" i="3"/>
  <c r="B275" i="3"/>
  <c r="A275" i="3"/>
  <c r="C274" i="3"/>
  <c r="B274" i="3"/>
  <c r="A274" i="3"/>
  <c r="C273" i="3"/>
  <c r="B273" i="3"/>
  <c r="A273" i="3"/>
  <c r="C272" i="3"/>
  <c r="B272" i="3"/>
  <c r="A272" i="3"/>
  <c r="C271" i="3"/>
  <c r="B271" i="3"/>
  <c r="A271" i="3"/>
  <c r="C270" i="3"/>
  <c r="B270" i="3"/>
  <c r="A270" i="3"/>
  <c r="C269" i="3"/>
  <c r="B269" i="3"/>
  <c r="A269" i="3"/>
  <c r="C268" i="3"/>
  <c r="B268" i="3"/>
  <c r="A268" i="3"/>
  <c r="C267" i="3"/>
  <c r="B267" i="3"/>
  <c r="A267" i="3"/>
  <c r="C266" i="3"/>
  <c r="B266" i="3"/>
  <c r="A266" i="3"/>
  <c r="C265" i="3"/>
  <c r="B265" i="3"/>
  <c r="A265" i="3"/>
  <c r="C264" i="3"/>
  <c r="B264" i="3"/>
  <c r="A264" i="3"/>
  <c r="C263" i="3"/>
  <c r="B263" i="3"/>
  <c r="A263" i="3"/>
  <c r="C262" i="3"/>
  <c r="B262" i="3"/>
  <c r="A262" i="3"/>
  <c r="B261" i="3"/>
  <c r="C261" i="3"/>
  <c r="A261" i="3"/>
  <c r="C259" i="3"/>
  <c r="B259" i="3"/>
  <c r="A259" i="3"/>
  <c r="C258" i="3"/>
  <c r="B258" i="3"/>
  <c r="A258" i="3"/>
  <c r="C257" i="3"/>
  <c r="B257" i="3"/>
  <c r="A257" i="3"/>
  <c r="C256" i="3"/>
  <c r="B256" i="3"/>
  <c r="A256" i="3"/>
  <c r="C255" i="3"/>
  <c r="B255" i="3"/>
  <c r="A255" i="3"/>
  <c r="C254" i="3"/>
  <c r="B254" i="3"/>
  <c r="A254" i="3"/>
  <c r="C253" i="3"/>
  <c r="B253" i="3"/>
  <c r="A253" i="3"/>
  <c r="C252" i="3"/>
  <c r="B252" i="3"/>
  <c r="C251" i="3"/>
  <c r="B251" i="3"/>
  <c r="A251" i="3"/>
  <c r="C250" i="3"/>
  <c r="B250" i="3"/>
  <c r="A250" i="3"/>
  <c r="C249" i="3"/>
  <c r="B249" i="3"/>
  <c r="A249" i="3"/>
  <c r="C248" i="3"/>
  <c r="B248" i="3"/>
  <c r="A248" i="3"/>
  <c r="C247" i="3"/>
  <c r="B247" i="3"/>
  <c r="A247" i="3"/>
  <c r="C246" i="3"/>
  <c r="B246" i="3"/>
  <c r="A246" i="3"/>
  <c r="C245" i="3"/>
  <c r="B245" i="3"/>
  <c r="A245" i="3"/>
  <c r="C244" i="3"/>
  <c r="B244" i="3"/>
  <c r="A244" i="3"/>
  <c r="C243" i="3"/>
  <c r="B243" i="3"/>
  <c r="A243" i="3"/>
  <c r="C242" i="3"/>
  <c r="B242" i="3"/>
  <c r="A242" i="3"/>
  <c r="C241" i="3"/>
  <c r="B241" i="3"/>
  <c r="A241" i="3"/>
  <c r="C240" i="3"/>
  <c r="B240" i="3"/>
  <c r="A240" i="3"/>
  <c r="C239" i="3"/>
  <c r="B239" i="3"/>
  <c r="A239" i="3"/>
  <c r="C238" i="3"/>
  <c r="B238" i="3"/>
  <c r="A238" i="3"/>
  <c r="C237" i="3"/>
  <c r="B237" i="3"/>
  <c r="A237" i="3"/>
  <c r="C236" i="3"/>
  <c r="B236" i="3"/>
  <c r="A236" i="3"/>
  <c r="C235" i="3"/>
  <c r="B235" i="3"/>
  <c r="A235" i="3"/>
  <c r="C234" i="3"/>
  <c r="B234" i="3"/>
  <c r="A234" i="3"/>
  <c r="C232" i="3"/>
  <c r="B232" i="3"/>
  <c r="A232" i="3"/>
  <c r="C231" i="3"/>
  <c r="B231" i="3"/>
  <c r="A231" i="3"/>
  <c r="C230" i="3"/>
  <c r="B230" i="3"/>
  <c r="A230" i="3"/>
  <c r="C229" i="3"/>
  <c r="B229" i="3"/>
  <c r="A229" i="3"/>
  <c r="C228" i="3"/>
  <c r="B228" i="3"/>
  <c r="A228" i="3"/>
  <c r="C227" i="3"/>
  <c r="B227" i="3"/>
  <c r="A227" i="3"/>
  <c r="C225" i="3"/>
  <c r="B225" i="3"/>
  <c r="A225" i="3"/>
  <c r="C224" i="3"/>
  <c r="B224" i="3"/>
  <c r="A224" i="3"/>
  <c r="C223" i="3"/>
  <c r="B223" i="3"/>
  <c r="A223" i="3"/>
  <c r="C222" i="3"/>
  <c r="B222" i="3"/>
  <c r="A222" i="3"/>
  <c r="B221" i="3"/>
  <c r="A221" i="3"/>
  <c r="C226" i="3"/>
  <c r="B226" i="3"/>
  <c r="A226" i="3"/>
  <c r="C220" i="3"/>
  <c r="B220" i="3"/>
  <c r="A220" i="3"/>
  <c r="C219" i="3"/>
  <c r="B219" i="3"/>
  <c r="A219" i="3"/>
  <c r="C218" i="3"/>
  <c r="B218" i="3"/>
  <c r="A218" i="3"/>
  <c r="C217" i="3"/>
  <c r="B217" i="3"/>
  <c r="A217" i="3"/>
  <c r="C216" i="3"/>
  <c r="B216" i="3"/>
  <c r="A216" i="3"/>
  <c r="C215" i="3"/>
  <c r="B215" i="3"/>
  <c r="A215" i="3"/>
  <c r="C214" i="3"/>
  <c r="B214" i="3"/>
  <c r="A214" i="3"/>
  <c r="C213" i="3"/>
  <c r="B213" i="3"/>
  <c r="A213" i="3"/>
  <c r="C212" i="3"/>
  <c r="B212" i="3"/>
  <c r="A212" i="3"/>
  <c r="C211" i="3"/>
  <c r="B211" i="3"/>
  <c r="A211" i="3"/>
  <c r="C210" i="3"/>
  <c r="B210" i="3"/>
  <c r="A210" i="3"/>
  <c r="C209" i="3"/>
  <c r="B209" i="3"/>
  <c r="A209" i="3"/>
  <c r="C202" i="3"/>
  <c r="B202" i="3"/>
  <c r="A202" i="3"/>
  <c r="C201" i="3"/>
  <c r="B201" i="3"/>
  <c r="A201" i="3"/>
  <c r="C197" i="3"/>
  <c r="B197" i="3"/>
  <c r="A197" i="3"/>
  <c r="C196" i="3"/>
  <c r="B196" i="3"/>
  <c r="A196" i="3"/>
  <c r="C195" i="3"/>
  <c r="B195" i="3"/>
  <c r="A195" i="3"/>
  <c r="C194" i="3"/>
  <c r="B194" i="3"/>
  <c r="A194" i="3"/>
  <c r="C193" i="3"/>
  <c r="B193" i="3"/>
  <c r="A193" i="3"/>
  <c r="C192" i="3"/>
  <c r="B192" i="3"/>
  <c r="A192" i="3"/>
  <c r="C191" i="3"/>
  <c r="B191" i="3"/>
  <c r="A191" i="3"/>
  <c r="C190" i="3"/>
  <c r="B190" i="3"/>
  <c r="A190" i="3"/>
  <c r="C189" i="3"/>
  <c r="B189" i="3"/>
  <c r="A189" i="3"/>
  <c r="C188" i="3"/>
  <c r="B188" i="3"/>
  <c r="A188" i="3"/>
  <c r="C187" i="3"/>
  <c r="B187" i="3"/>
  <c r="A187" i="3"/>
  <c r="C186" i="3"/>
  <c r="B186" i="3"/>
  <c r="A186" i="3"/>
  <c r="C185" i="3"/>
  <c r="B185" i="3"/>
  <c r="A185" i="3"/>
  <c r="C184" i="3"/>
  <c r="B184" i="3"/>
  <c r="A184" i="3"/>
  <c r="C183" i="3"/>
  <c r="B183" i="3"/>
  <c r="A183" i="3"/>
  <c r="A171" i="3"/>
  <c r="B171" i="3"/>
  <c r="C171" i="3"/>
  <c r="A172" i="3"/>
  <c r="B172" i="3"/>
  <c r="C172" i="3"/>
  <c r="A173" i="3"/>
  <c r="B173" i="3"/>
  <c r="C173" i="3"/>
  <c r="A174" i="3"/>
  <c r="B174" i="3"/>
  <c r="C174" i="3"/>
  <c r="B175" i="3"/>
  <c r="A176" i="3"/>
  <c r="B176" i="3"/>
  <c r="C176" i="3"/>
  <c r="A177" i="3"/>
  <c r="B177" i="3"/>
  <c r="C177" i="3"/>
  <c r="A178" i="3"/>
  <c r="B178" i="3"/>
  <c r="C178" i="3"/>
  <c r="A179" i="3"/>
  <c r="B179" i="3"/>
  <c r="C179" i="3"/>
  <c r="A180" i="3"/>
  <c r="B180" i="3"/>
  <c r="C180" i="3"/>
  <c r="B181" i="3"/>
  <c r="C181" i="3"/>
  <c r="B182" i="3"/>
  <c r="C182" i="3"/>
  <c r="A181" i="3"/>
  <c r="B991" i="3"/>
  <c r="C991" i="3"/>
  <c r="B992" i="3"/>
  <c r="C992" i="3"/>
  <c r="A992" i="3"/>
  <c r="B981" i="3"/>
  <c r="C981" i="3"/>
  <c r="B982" i="3"/>
  <c r="C982" i="3"/>
  <c r="B983" i="3"/>
  <c r="C983" i="3"/>
  <c r="B984" i="3"/>
  <c r="C984" i="3"/>
  <c r="B985" i="3"/>
  <c r="C985" i="3"/>
  <c r="B986" i="3"/>
  <c r="C986" i="3"/>
  <c r="B987" i="3"/>
  <c r="C987" i="3"/>
  <c r="B988" i="3"/>
  <c r="C988" i="3"/>
  <c r="B989" i="3"/>
  <c r="C989" i="3"/>
  <c r="B990" i="3"/>
  <c r="C990" i="3"/>
  <c r="B993" i="3"/>
  <c r="C993" i="3"/>
  <c r="B994" i="3"/>
  <c r="C994" i="3"/>
  <c r="B995" i="3"/>
  <c r="C995" i="3"/>
  <c r="B996" i="3"/>
  <c r="C996" i="3"/>
  <c r="B997" i="3"/>
  <c r="C997" i="3"/>
  <c r="B998" i="3"/>
  <c r="C998" i="3"/>
  <c r="B999" i="3"/>
  <c r="C999" i="3"/>
  <c r="B1000" i="3"/>
  <c r="C1000" i="3"/>
  <c r="B1001" i="3"/>
  <c r="C1001" i="3"/>
  <c r="B1002" i="3"/>
  <c r="C1002" i="3"/>
  <c r="B1003" i="3"/>
  <c r="C1003" i="3"/>
  <c r="B1004" i="3"/>
  <c r="C1004" i="3"/>
  <c r="B1005" i="3"/>
  <c r="C1005" i="3"/>
  <c r="B1006" i="3"/>
  <c r="C1006" i="3"/>
  <c r="B1007" i="3"/>
  <c r="C1007" i="3"/>
  <c r="B1011" i="3"/>
  <c r="C1011" i="3"/>
  <c r="B1012" i="3"/>
  <c r="C1012" i="3"/>
  <c r="B1018" i="3"/>
  <c r="C1018" i="3"/>
  <c r="B1019" i="3"/>
  <c r="C1019" i="3"/>
  <c r="B1020" i="3"/>
  <c r="C1020" i="3"/>
  <c r="B1021" i="3"/>
  <c r="C1021" i="3"/>
  <c r="B1022" i="3"/>
  <c r="C1022" i="3"/>
  <c r="B1023" i="3"/>
  <c r="C1023" i="3"/>
  <c r="B1024" i="3"/>
  <c r="C1024" i="3"/>
  <c r="B1025" i="3"/>
  <c r="C1025" i="3"/>
  <c r="B1026" i="3"/>
  <c r="C1026" i="3"/>
  <c r="B1027" i="3"/>
  <c r="C1027" i="3"/>
  <c r="B1028" i="3"/>
  <c r="C1028" i="3"/>
  <c r="B1029" i="3"/>
  <c r="C1029" i="3"/>
  <c r="B1030" i="3"/>
  <c r="C1030" i="3"/>
  <c r="B1036" i="3"/>
  <c r="C1036" i="3"/>
  <c r="B1031" i="3"/>
  <c r="C1031" i="3"/>
  <c r="B1032" i="3"/>
  <c r="C1032" i="3"/>
  <c r="B1033" i="3"/>
  <c r="C1033" i="3"/>
  <c r="B1034" i="3"/>
  <c r="C1034" i="3"/>
  <c r="B1035" i="3"/>
  <c r="C1035" i="3"/>
  <c r="B1037" i="3"/>
  <c r="C1037" i="3"/>
  <c r="B1038" i="3"/>
  <c r="C1038" i="3"/>
  <c r="B1039" i="3"/>
  <c r="C1039" i="3"/>
  <c r="B1040" i="3"/>
  <c r="C1040" i="3"/>
  <c r="B1041" i="3"/>
  <c r="C1041" i="3"/>
  <c r="B1042" i="3"/>
  <c r="C1042" i="3"/>
  <c r="B1044" i="3"/>
  <c r="C1044" i="3"/>
  <c r="B1045" i="3"/>
  <c r="C1045" i="3"/>
  <c r="B1046" i="3"/>
  <c r="C1046" i="3"/>
  <c r="B1047" i="3"/>
  <c r="C1047" i="3"/>
  <c r="B1048" i="3"/>
  <c r="C1048" i="3"/>
  <c r="B1049" i="3"/>
  <c r="C1049" i="3"/>
  <c r="B1050" i="3"/>
  <c r="C1050" i="3"/>
  <c r="B1051" i="3"/>
  <c r="C1051" i="3"/>
  <c r="B1052" i="3"/>
  <c r="C1052" i="3"/>
  <c r="B1053" i="3"/>
  <c r="C1053" i="3"/>
  <c r="B1054" i="3"/>
  <c r="C1054" i="3"/>
  <c r="B1055" i="3"/>
  <c r="C1055" i="3"/>
  <c r="B1056" i="3"/>
  <c r="C1056" i="3"/>
  <c r="B1057" i="3"/>
  <c r="C1057" i="3"/>
  <c r="B1058" i="3"/>
  <c r="C1058" i="3"/>
  <c r="B1059" i="3"/>
  <c r="C1059" i="3"/>
  <c r="B1060" i="3"/>
  <c r="C1060" i="3"/>
  <c r="B1061" i="3"/>
  <c r="C1061" i="3"/>
  <c r="B1062" i="3"/>
  <c r="C1062" i="3"/>
  <c r="B1063" i="3"/>
  <c r="C1063" i="3"/>
  <c r="B1064" i="3"/>
  <c r="C1064" i="3"/>
  <c r="B1065" i="3"/>
  <c r="C1065" i="3"/>
  <c r="B1066" i="3"/>
  <c r="C1066" i="3"/>
  <c r="B1067" i="3"/>
  <c r="C1067" i="3"/>
  <c r="B1068" i="3"/>
  <c r="C1068" i="3"/>
  <c r="B1069" i="3"/>
  <c r="C1069" i="3"/>
  <c r="W722" i="3"/>
  <c r="V722" i="3"/>
  <c r="U722" i="3"/>
  <c r="W632" i="3"/>
  <c r="V632" i="3"/>
  <c r="U632" i="3"/>
  <c r="W902" i="3"/>
  <c r="V902" i="3"/>
  <c r="U902" i="3"/>
  <c r="W542" i="3"/>
  <c r="V542" i="3"/>
  <c r="U542" i="3"/>
  <c r="W452" i="3"/>
  <c r="V452" i="3"/>
  <c r="W812" i="3"/>
  <c r="V812" i="3"/>
  <c r="U812" i="3"/>
  <c r="W362" i="3"/>
  <c r="V362" i="3"/>
  <c r="U362" i="3"/>
  <c r="W272" i="3"/>
  <c r="V272" i="3"/>
  <c r="U272" i="3"/>
  <c r="U182" i="3"/>
  <c r="V182" i="3"/>
  <c r="W182" i="3"/>
  <c r="R290" i="10" l="1"/>
  <c r="R558" i="10"/>
  <c r="R556" i="10" l="1"/>
  <c r="R557" i="10"/>
  <c r="B457" i="10" l="1"/>
  <c r="U455" i="10"/>
  <c r="T455" i="10"/>
  <c r="E211" i="3"/>
  <c r="E225" i="3"/>
  <c r="E187" i="3"/>
  <c r="V349" i="10"/>
  <c r="U349" i="10"/>
  <c r="T349" i="10"/>
  <c r="E204" i="3"/>
  <c r="U244" i="10"/>
  <c r="T244" i="10"/>
  <c r="S244" i="10"/>
  <c r="E203" i="3" l="1"/>
  <c r="E186" i="3"/>
  <c r="V244" i="10"/>
  <c r="T449" i="10"/>
  <c r="T448" i="10" s="1"/>
  <c r="U449" i="10"/>
  <c r="U448" i="10" s="1"/>
  <c r="T273" i="10"/>
  <c r="T277" i="10"/>
  <c r="V277" i="10"/>
  <c r="T282" i="10"/>
  <c r="T286" i="10"/>
  <c r="V286" i="10"/>
  <c r="U273" i="10"/>
  <c r="U232" i="10"/>
  <c r="U277" i="10"/>
  <c r="V282" i="10"/>
  <c r="V273" i="10"/>
  <c r="T232" i="10"/>
  <c r="V232" i="10"/>
  <c r="U282" i="10"/>
  <c r="U286" i="10"/>
  <c r="S1175" i="10"/>
  <c r="S412" i="10"/>
  <c r="S409" i="10" s="1"/>
  <c r="U412" i="10"/>
  <c r="U409" i="10" s="1"/>
  <c r="T412" i="10"/>
  <c r="T409" i="10" s="1"/>
  <c r="D25" i="7" l="1"/>
  <c r="D24" i="7"/>
  <c r="U203" i="3"/>
  <c r="E113" i="3"/>
  <c r="U113" i="3" s="1"/>
  <c r="S273" i="10"/>
  <c r="S277" i="10"/>
  <c r="S232" i="10"/>
  <c r="S282" i="10"/>
  <c r="S286" i="10"/>
  <c r="V455" i="10"/>
  <c r="R457" i="10" l="1"/>
  <c r="S455" i="10"/>
  <c r="R456" i="10" l="1"/>
  <c r="R455" i="10" s="1"/>
  <c r="E188" i="3" l="1"/>
  <c r="S1038" i="10" l="1"/>
  <c r="R577" i="10"/>
  <c r="R580" i="10"/>
  <c r="R893" i="10"/>
  <c r="R894" i="10"/>
  <c r="R902" i="10"/>
  <c r="R896" i="10"/>
  <c r="R892" i="10"/>
  <c r="R900" i="10"/>
  <c r="R898" i="10"/>
  <c r="R891" i="10"/>
  <c r="R586" i="10"/>
  <c r="R582" i="10"/>
  <c r="R591" i="10"/>
  <c r="V449" i="10" l="1"/>
  <c r="V448" i="10" s="1"/>
  <c r="E494" i="3" s="1"/>
  <c r="R584" i="10"/>
  <c r="R901" i="10"/>
  <c r="R895" i="10"/>
  <c r="R899" i="10"/>
  <c r="R583" i="10"/>
  <c r="R890" i="10"/>
  <c r="R1023" i="10"/>
  <c r="R985" i="10"/>
  <c r="R984" i="10" l="1"/>
  <c r="R986" i="10"/>
  <c r="R559" i="10"/>
  <c r="R1149" i="10" l="1"/>
  <c r="R794" i="10" l="1"/>
  <c r="R1104" i="10"/>
  <c r="R1168" i="10"/>
  <c r="R1166" i="10"/>
  <c r="R1151" i="10"/>
  <c r="R1147" i="10"/>
  <c r="R1103" i="10"/>
  <c r="R1148" i="10"/>
  <c r="R1150" i="10"/>
  <c r="R1152" i="10"/>
  <c r="R1165" i="10"/>
  <c r="R1167" i="10"/>
  <c r="R805" i="10"/>
  <c r="R819" i="10"/>
  <c r="R809" i="10"/>
  <c r="R793" i="10"/>
  <c r="R801" i="10"/>
  <c r="R817" i="10"/>
  <c r="R797" i="10"/>
  <c r="R813" i="10"/>
  <c r="R795" i="10"/>
  <c r="R799" i="10"/>
  <c r="R803" i="10"/>
  <c r="R807" i="10"/>
  <c r="R811" i="10"/>
  <c r="R815" i="10"/>
  <c r="R818" i="10"/>
  <c r="U681" i="10"/>
  <c r="U680" i="10" s="1"/>
  <c r="T681" i="10"/>
  <c r="T680" i="10" s="1"/>
  <c r="R693" i="10"/>
  <c r="R694" i="10"/>
  <c r="R695" i="10"/>
  <c r="R696" i="10"/>
  <c r="R703" i="10"/>
  <c r="R704" i="10"/>
  <c r="R810" i="10" l="1"/>
  <c r="R806" i="10"/>
  <c r="R802" i="10"/>
  <c r="R1105" i="10"/>
  <c r="R814" i="10"/>
  <c r="R798" i="10"/>
  <c r="R792" i="10"/>
  <c r="R816" i="10"/>
  <c r="R800" i="10"/>
  <c r="R808" i="10"/>
  <c r="R812" i="10"/>
  <c r="R804" i="10"/>
  <c r="R796" i="10"/>
  <c r="R692" i="10"/>
  <c r="R1059" i="10"/>
  <c r="R1076" i="10"/>
  <c r="R1060" i="10"/>
  <c r="U853" i="10"/>
  <c r="T853" i="10"/>
  <c r="S853" i="10"/>
  <c r="G853" i="10"/>
  <c r="D853" i="10"/>
  <c r="U675" i="10"/>
  <c r="T675" i="10"/>
  <c r="S675" i="10"/>
  <c r="D675" i="10"/>
  <c r="G675" i="10"/>
  <c r="T670" i="10"/>
  <c r="U670" i="10"/>
  <c r="S670" i="10"/>
  <c r="D670" i="10"/>
  <c r="G670" i="10"/>
  <c r="R674" i="10"/>
  <c r="R1177" i="10"/>
  <c r="U1175" i="10"/>
  <c r="T1175" i="10"/>
  <c r="R1178" i="10"/>
  <c r="R1176" i="10"/>
  <c r="U1170" i="10"/>
  <c r="T1170" i="10"/>
  <c r="S1170" i="10"/>
  <c r="R442" i="10"/>
  <c r="T439" i="10"/>
  <c r="U439" i="10"/>
  <c r="S439" i="10"/>
  <c r="R416" i="10" l="1"/>
  <c r="E196" i="3"/>
  <c r="U654" i="10"/>
  <c r="T654" i="10"/>
  <c r="R411" i="10"/>
  <c r="V412" i="10"/>
  <c r="V409" i="10" s="1"/>
  <c r="R856" i="10"/>
  <c r="R855" i="10"/>
  <c r="R983" i="10"/>
  <c r="R833" i="10"/>
  <c r="R838" i="10"/>
  <c r="R829" i="10"/>
  <c r="R821" i="10"/>
  <c r="R825" i="10"/>
  <c r="R836" i="10"/>
  <c r="R840" i="10"/>
  <c r="R823" i="10"/>
  <c r="R827" i="10"/>
  <c r="R831" i="10"/>
  <c r="R835" i="10"/>
  <c r="R820" i="10"/>
  <c r="R822" i="10"/>
  <c r="R824" i="10"/>
  <c r="R826" i="10"/>
  <c r="R828" i="10"/>
  <c r="R830" i="10"/>
  <c r="R832" i="10"/>
  <c r="R837" i="10"/>
  <c r="R839" i="10"/>
  <c r="R834" i="10"/>
  <c r="R1061" i="10"/>
  <c r="R857" i="10"/>
  <c r="R678" i="10"/>
  <c r="R679" i="10"/>
  <c r="R673" i="10"/>
  <c r="V1175" i="10"/>
  <c r="E256" i="3" s="1"/>
  <c r="R1179" i="10"/>
  <c r="R1175" i="10" s="1"/>
  <c r="R1173" i="10"/>
  <c r="R1174" i="10"/>
  <c r="R1171" i="10"/>
  <c r="R443" i="10"/>
  <c r="R441" i="10" l="1"/>
  <c r="R440" i="10"/>
  <c r="R671" i="10"/>
  <c r="V1170" i="10"/>
  <c r="E255" i="3" s="1"/>
  <c r="R1172" i="10"/>
  <c r="V439" i="10"/>
  <c r="R676" i="10"/>
  <c r="V675" i="10"/>
  <c r="R675" i="10" s="1"/>
  <c r="V670" i="10"/>
  <c r="R672" i="10"/>
  <c r="R677" i="10"/>
  <c r="R969" i="10"/>
  <c r="R1037" i="10"/>
  <c r="R1033" i="10"/>
  <c r="R1032" i="10"/>
  <c r="R1031" i="10"/>
  <c r="R1030" i="10"/>
  <c r="R1029" i="10"/>
  <c r="R1028" i="10"/>
  <c r="R1027" i="10"/>
  <c r="R439" i="10" l="1"/>
  <c r="E222" i="3"/>
  <c r="V654" i="10"/>
  <c r="E245" i="3" s="1"/>
  <c r="R1170" i="10"/>
  <c r="R652" i="10"/>
  <c r="R651" i="10"/>
  <c r="R650" i="10"/>
  <c r="R649" i="10"/>
  <c r="R648" i="10"/>
  <c r="R647" i="10"/>
  <c r="R646" i="10"/>
  <c r="R645" i="10"/>
  <c r="R644" i="10"/>
  <c r="R643" i="10"/>
  <c r="R642" i="10"/>
  <c r="R641" i="10"/>
  <c r="R640" i="10"/>
  <c r="R625" i="10"/>
  <c r="R624" i="10"/>
  <c r="R929" i="10"/>
  <c r="R889" i="10"/>
  <c r="R691" i="10"/>
  <c r="R927" i="10"/>
  <c r="R887" i="10"/>
  <c r="R886" i="10"/>
  <c r="R924" i="10"/>
  <c r="R931" i="10" l="1"/>
  <c r="R933" i="10"/>
  <c r="R935" i="10"/>
  <c r="R937" i="10"/>
  <c r="R939" i="10"/>
  <c r="R888" i="10"/>
  <c r="R928" i="10"/>
  <c r="R690" i="10"/>
  <c r="R926" i="10"/>
  <c r="R925" i="10"/>
  <c r="R1102" i="10"/>
  <c r="R930" i="10"/>
  <c r="R932" i="10"/>
  <c r="R934" i="10"/>
  <c r="R936" i="10"/>
  <c r="R938" i="10"/>
  <c r="R1098" i="10"/>
  <c r="R1097" i="10"/>
  <c r="R1100" i="10"/>
  <c r="R1099" i="10"/>
  <c r="R1101" i="10"/>
  <c r="R941" i="10"/>
  <c r="R940" i="10"/>
  <c r="R945" i="10"/>
  <c r="R944" i="10"/>
  <c r="R943" i="10"/>
  <c r="R942" i="10"/>
  <c r="R772" i="10"/>
  <c r="R771" i="10"/>
  <c r="R770" i="10"/>
  <c r="R769" i="10"/>
  <c r="R768" i="10"/>
  <c r="R767" i="10"/>
  <c r="R766" i="10"/>
  <c r="R765" i="10"/>
  <c r="R764" i="10"/>
  <c r="R763" i="10"/>
  <c r="R762" i="10"/>
  <c r="R761" i="10"/>
  <c r="R760" i="10"/>
  <c r="R759" i="10"/>
  <c r="R758" i="10"/>
  <c r="R757" i="10"/>
  <c r="R756" i="10"/>
  <c r="R755" i="10"/>
  <c r="R754" i="10"/>
  <c r="R753" i="10"/>
  <c r="R752" i="10"/>
  <c r="R751" i="10"/>
  <c r="R750" i="10"/>
  <c r="R749" i="10"/>
  <c r="R748" i="10"/>
  <c r="R747" i="10"/>
  <c r="R746" i="10"/>
  <c r="R745" i="10"/>
  <c r="R744" i="10"/>
  <c r="R743" i="10"/>
  <c r="R742" i="10"/>
  <c r="R741" i="10"/>
  <c r="R740" i="10"/>
  <c r="R739" i="10"/>
  <c r="R738" i="10"/>
  <c r="R737" i="10"/>
  <c r="R736" i="10"/>
  <c r="R735" i="10"/>
  <c r="R734" i="10"/>
  <c r="R733" i="10"/>
  <c r="R732" i="10"/>
  <c r="R731" i="10"/>
  <c r="R730" i="10"/>
  <c r="R729" i="10"/>
  <c r="R728" i="10"/>
  <c r="R727" i="10"/>
  <c r="R726" i="10"/>
  <c r="R725" i="10"/>
  <c r="R724" i="10"/>
  <c r="R723" i="10"/>
  <c r="R722" i="10"/>
  <c r="R721" i="10"/>
  <c r="R720" i="10"/>
  <c r="R719" i="10"/>
  <c r="R718" i="10"/>
  <c r="R717" i="10"/>
  <c r="R716" i="10"/>
  <c r="R715" i="10"/>
  <c r="R714" i="10"/>
  <c r="R713" i="10"/>
  <c r="R774" i="10"/>
  <c r="R773" i="10"/>
  <c r="R786" i="10"/>
  <c r="R784" i="10"/>
  <c r="R782" i="10"/>
  <c r="R780" i="10"/>
  <c r="R778" i="10"/>
  <c r="R776" i="10"/>
  <c r="R841" i="10"/>
  <c r="R790" i="10"/>
  <c r="R788" i="10"/>
  <c r="R670" i="10"/>
  <c r="R563" i="10"/>
  <c r="R521" i="10"/>
  <c r="R514" i="10"/>
  <c r="R499" i="10"/>
  <c r="R513" i="10"/>
  <c r="R512" i="10"/>
  <c r="R511" i="10"/>
  <c r="R505" i="10"/>
  <c r="R504" i="10"/>
  <c r="R503" i="10"/>
  <c r="R501" i="10" l="1"/>
  <c r="R710" i="10"/>
  <c r="R502" i="10"/>
  <c r="R510" i="10"/>
  <c r="R534" i="10"/>
  <c r="R539" i="10"/>
  <c r="R533" i="10"/>
  <c r="R535" i="10"/>
  <c r="R547" i="10"/>
  <c r="V853" i="10"/>
  <c r="E253" i="3" s="1"/>
  <c r="R711" i="10"/>
  <c r="R708" i="10"/>
  <c r="R712" i="10"/>
  <c r="R519" i="10"/>
  <c r="R517" i="10"/>
  <c r="R515" i="10"/>
  <c r="R509" i="10"/>
  <c r="R507" i="10"/>
  <c r="R912" i="10"/>
  <c r="R787" i="10"/>
  <c r="R789" i="10"/>
  <c r="R791" i="10"/>
  <c r="R775" i="10"/>
  <c r="R777" i="10"/>
  <c r="R779" i="10"/>
  <c r="R781" i="10"/>
  <c r="R783" i="10"/>
  <c r="R785" i="10"/>
  <c r="R709" i="10"/>
  <c r="R506" i="10"/>
  <c r="R498" i="10"/>
  <c r="R526" i="10"/>
  <c r="R553" i="10"/>
  <c r="R874" i="10"/>
  <c r="R561" i="10"/>
  <c r="R860" i="10"/>
  <c r="R970" i="10"/>
  <c r="R555" i="10"/>
  <c r="R878" i="10"/>
  <c r="R867" i="10"/>
  <c r="R864" i="10"/>
  <c r="R876" i="10"/>
  <c r="R880" i="10"/>
  <c r="R875" i="10"/>
  <c r="R877" i="10"/>
  <c r="R879" i="10"/>
  <c r="R897" i="10"/>
  <c r="R585" i="10"/>
  <c r="R905" i="10"/>
  <c r="R903" i="10"/>
  <c r="R904" i="10"/>
  <c r="R871" i="10"/>
  <c r="R862" i="10"/>
  <c r="R866" i="10"/>
  <c r="R872" i="10"/>
  <c r="R869" i="10"/>
  <c r="R859" i="10"/>
  <c r="R861" i="10"/>
  <c r="R863" i="10"/>
  <c r="R865" i="10"/>
  <c r="R868" i="10"/>
  <c r="R870" i="10"/>
  <c r="R549" i="10"/>
  <c r="R550" i="10"/>
  <c r="R541" i="10"/>
  <c r="R528" i="10"/>
  <c r="R552" i="10"/>
  <c r="R554" i="10"/>
  <c r="R560" i="10"/>
  <c r="R562" i="10"/>
  <c r="R551" i="10"/>
  <c r="R540" i="10"/>
  <c r="R525" i="10"/>
  <c r="R527" i="10"/>
  <c r="R516" i="10"/>
  <c r="R518" i="10"/>
  <c r="R520" i="10"/>
  <c r="R532" i="10" l="1"/>
  <c r="R500" i="10"/>
  <c r="R538" i="10"/>
  <c r="R508" i="10"/>
  <c r="R536" i="10"/>
  <c r="R537" i="10"/>
  <c r="R548" i="10"/>
  <c r="E228" i="3"/>
  <c r="G334" i="10" l="1"/>
  <c r="V333" i="10"/>
  <c r="U333" i="10"/>
  <c r="T333" i="10"/>
  <c r="R414" i="10" l="1"/>
  <c r="R334" i="10"/>
  <c r="S333" i="10"/>
  <c r="B288" i="10"/>
  <c r="B284" i="10"/>
  <c r="B279" i="10"/>
  <c r="V240" i="10"/>
  <c r="U240" i="10"/>
  <c r="T240" i="10"/>
  <c r="B238" i="10"/>
  <c r="V236" i="10"/>
  <c r="U236" i="10"/>
  <c r="T236" i="10"/>
  <c r="B234" i="10"/>
  <c r="B226" i="10"/>
  <c r="B230" i="10"/>
  <c r="B225" i="10"/>
  <c r="B229" i="10"/>
  <c r="R247" i="10"/>
  <c r="R228" i="10"/>
  <c r="U227" i="10"/>
  <c r="T227" i="10"/>
  <c r="U223" i="10"/>
  <c r="T223" i="10"/>
  <c r="B247" i="10"/>
  <c r="B246" i="10"/>
  <c r="B243" i="10"/>
  <c r="B242" i="10"/>
  <c r="R246" i="10"/>
  <c r="R245" i="10"/>
  <c r="B194" i="10"/>
  <c r="B192" i="10"/>
  <c r="V190" i="10"/>
  <c r="U190" i="10"/>
  <c r="T190" i="10"/>
  <c r="B173" i="10"/>
  <c r="B171" i="10"/>
  <c r="V169" i="10"/>
  <c r="U169" i="10"/>
  <c r="T169" i="10"/>
  <c r="B88" i="10"/>
  <c r="V86" i="10"/>
  <c r="U86" i="10"/>
  <c r="T86" i="10"/>
  <c r="B68" i="10"/>
  <c r="B66" i="10"/>
  <c r="U64" i="10"/>
  <c r="T64" i="10"/>
  <c r="B73" i="10"/>
  <c r="B71" i="10"/>
  <c r="U69" i="10"/>
  <c r="T69" i="10"/>
  <c r="U204" i="3" l="1"/>
  <c r="E114" i="3"/>
  <c r="U114" i="3" s="1"/>
  <c r="R244" i="10"/>
  <c r="U231" i="10"/>
  <c r="V231" i="10"/>
  <c r="T231" i="10"/>
  <c r="S349" i="10"/>
  <c r="R225" i="10"/>
  <c r="T239" i="10"/>
  <c r="V239" i="10"/>
  <c r="T222" i="10"/>
  <c r="R170" i="10"/>
  <c r="R191" i="10"/>
  <c r="U239" i="10"/>
  <c r="R241" i="10"/>
  <c r="U222" i="10"/>
  <c r="V227" i="10"/>
  <c r="R234" i="10"/>
  <c r="R278" i="10"/>
  <c r="T272" i="10"/>
  <c r="V272" i="10"/>
  <c r="R287" i="10"/>
  <c r="R288" i="10"/>
  <c r="T281" i="10"/>
  <c r="V281" i="10"/>
  <c r="R333" i="10"/>
  <c r="R233" i="10"/>
  <c r="R279" i="10"/>
  <c r="U272" i="10"/>
  <c r="R283" i="10"/>
  <c r="R284" i="10"/>
  <c r="U281" i="10"/>
  <c r="R243" i="10"/>
  <c r="S86" i="10"/>
  <c r="R88" i="10"/>
  <c r="R171" i="10"/>
  <c r="R173" i="10"/>
  <c r="R192" i="10"/>
  <c r="R194" i="10"/>
  <c r="R237" i="10"/>
  <c r="R238" i="10"/>
  <c r="R242" i="10"/>
  <c r="R229" i="10"/>
  <c r="S240" i="10"/>
  <c r="S236" i="10"/>
  <c r="R230" i="10"/>
  <c r="R224" i="10"/>
  <c r="V223" i="10"/>
  <c r="S227" i="10"/>
  <c r="S190" i="10"/>
  <c r="S169" i="10"/>
  <c r="R87" i="10"/>
  <c r="B267" i="10"/>
  <c r="B266" i="10"/>
  <c r="V264" i="10"/>
  <c r="U264" i="10"/>
  <c r="T264" i="10"/>
  <c r="B271" i="10"/>
  <c r="B270" i="10"/>
  <c r="V268" i="10"/>
  <c r="U268" i="10"/>
  <c r="T268" i="10"/>
  <c r="B263" i="10"/>
  <c r="B262" i="10"/>
  <c r="V260" i="10"/>
  <c r="U260" i="10"/>
  <c r="T260" i="10"/>
  <c r="V256" i="10"/>
  <c r="U256" i="10"/>
  <c r="T256" i="10"/>
  <c r="E460" i="3" l="1"/>
  <c r="S449" i="10"/>
  <c r="S448" i="10" s="1"/>
  <c r="R232" i="10"/>
  <c r="R286" i="10"/>
  <c r="R277" i="10"/>
  <c r="R282" i="10"/>
  <c r="S231" i="10"/>
  <c r="T221" i="10"/>
  <c r="R270" i="10"/>
  <c r="R236" i="10"/>
  <c r="R169" i="10"/>
  <c r="R190" i="10"/>
  <c r="U255" i="10"/>
  <c r="U221" i="10"/>
  <c r="R227" i="10"/>
  <c r="V222" i="10"/>
  <c r="S64" i="10"/>
  <c r="S239" i="10"/>
  <c r="R240" i="10"/>
  <c r="R86" i="10"/>
  <c r="S281" i="10"/>
  <c r="T255" i="10"/>
  <c r="V255" i="10"/>
  <c r="E472" i="3" s="1"/>
  <c r="S69" i="10"/>
  <c r="R262" i="10" l="1"/>
  <c r="R231" i="10"/>
  <c r="R271" i="10"/>
  <c r="R281" i="10"/>
  <c r="R265" i="10"/>
  <c r="R261" i="10"/>
  <c r="R226" i="10"/>
  <c r="R223" i="10" s="1"/>
  <c r="R222" i="10" s="1"/>
  <c r="S223" i="10"/>
  <c r="S222" i="10" s="1"/>
  <c r="S221" i="10" s="1"/>
  <c r="V221" i="10"/>
  <c r="R239" i="10"/>
  <c r="R269" i="10"/>
  <c r="R266" i="10" l="1"/>
  <c r="S268" i="10"/>
  <c r="R268" i="10"/>
  <c r="R221" i="10"/>
  <c r="R199" i="10"/>
  <c r="B199" i="10"/>
  <c r="B197" i="10"/>
  <c r="V195" i="10"/>
  <c r="U195" i="10"/>
  <c r="T195" i="10"/>
  <c r="B178" i="10"/>
  <c r="B176" i="10"/>
  <c r="V174" i="10"/>
  <c r="U174" i="10"/>
  <c r="T174" i="10"/>
  <c r="B85" i="10"/>
  <c r="V83" i="10"/>
  <c r="U83" i="10"/>
  <c r="T83" i="10"/>
  <c r="I56" i="10"/>
  <c r="U46" i="10"/>
  <c r="T46" i="10"/>
  <c r="I54" i="10"/>
  <c r="I52" i="10"/>
  <c r="B206" i="10" l="1"/>
  <c r="B216" i="10"/>
  <c r="B201" i="10"/>
  <c r="R267" i="10"/>
  <c r="R264" i="10" s="1"/>
  <c r="S264" i="10"/>
  <c r="S260" i="10"/>
  <c r="R263" i="10"/>
  <c r="R260" i="10" s="1"/>
  <c r="R175" i="10"/>
  <c r="R196" i="10"/>
  <c r="R85" i="10"/>
  <c r="R178" i="10"/>
  <c r="R197" i="10"/>
  <c r="R84" i="10"/>
  <c r="R176" i="10"/>
  <c r="S83" i="10"/>
  <c r="S195" i="10"/>
  <c r="S174" i="10"/>
  <c r="R195" i="10" l="1"/>
  <c r="R174" i="10"/>
  <c r="R83" i="10"/>
  <c r="S59" i="10"/>
  <c r="R95" i="10" l="1"/>
  <c r="R684" i="10" l="1"/>
  <c r="R685" i="10"/>
  <c r="R687" i="10"/>
  <c r="R683" i="10"/>
  <c r="R686" i="10"/>
  <c r="S681" i="10" l="1"/>
  <c r="S680" i="10" s="1"/>
  <c r="R664" i="10" l="1"/>
  <c r="R661" i="10"/>
  <c r="R484" i="10"/>
  <c r="U478" i="10"/>
  <c r="T478" i="10"/>
  <c r="S654" i="10" l="1"/>
  <c r="R482" i="10"/>
  <c r="R487" i="10"/>
  <c r="R479" i="10"/>
  <c r="R481" i="10"/>
  <c r="R483" i="10"/>
  <c r="S478" i="10"/>
  <c r="R480" i="10"/>
  <c r="V361" i="10"/>
  <c r="E207" i="3" s="1"/>
  <c r="U361" i="10"/>
  <c r="T361" i="10"/>
  <c r="U207" i="3" l="1"/>
  <c r="E117" i="3"/>
  <c r="U117" i="3" s="1"/>
  <c r="R486" i="10"/>
  <c r="R478" i="10" s="1"/>
  <c r="V478" i="10"/>
  <c r="E212" i="3" s="1"/>
  <c r="R365" i="10"/>
  <c r="R364" i="10"/>
  <c r="S361" i="10"/>
  <c r="B258" i="10" l="1"/>
  <c r="S249" i="10"/>
  <c r="R257" i="10" l="1"/>
  <c r="R14" i="10"/>
  <c r="R258" i="10"/>
  <c r="S256" i="10"/>
  <c r="S255" i="10" l="1"/>
  <c r="S272" i="10"/>
  <c r="E94" i="9" l="1"/>
  <c r="E93" i="9"/>
  <c r="E92" i="9"/>
  <c r="E91" i="9"/>
  <c r="C103" i="9" l="1"/>
  <c r="C105" i="9"/>
  <c r="C104" i="9"/>
  <c r="C106" i="9"/>
  <c r="C94" i="9" l="1"/>
  <c r="C92" i="9"/>
  <c r="C93" i="9"/>
  <c r="C91" i="9"/>
  <c r="B5" i="13" l="1"/>
  <c r="C4" i="13"/>
  <c r="B7" i="13"/>
  <c r="B4" i="10"/>
  <c r="E3" i="10"/>
  <c r="D49" i="8"/>
  <c r="E119" i="8"/>
  <c r="C7" i="9"/>
  <c r="C4" i="9"/>
  <c r="D3" i="9"/>
  <c r="B4" i="8"/>
  <c r="C3" i="8"/>
  <c r="B5" i="7"/>
  <c r="C4" i="7"/>
  <c r="F18" i="13"/>
  <c r="E18" i="13"/>
  <c r="D18" i="13"/>
  <c r="C18" i="13"/>
  <c r="F14" i="13"/>
  <c r="F22" i="13" s="1"/>
  <c r="E14" i="13"/>
  <c r="E22" i="13" s="1"/>
  <c r="D14" i="13"/>
  <c r="D22" i="13" s="1"/>
  <c r="C14" i="13"/>
  <c r="C22" i="13" s="1"/>
  <c r="R1169" i="10"/>
  <c r="U1084" i="10"/>
  <c r="T1084" i="10"/>
  <c r="S1084" i="10"/>
  <c r="R1083" i="10"/>
  <c r="R1082" i="10"/>
  <c r="R982" i="10"/>
  <c r="R1075" i="10"/>
  <c r="R1043" i="10"/>
  <c r="R1042" i="10"/>
  <c r="R1041" i="10"/>
  <c r="R1040" i="10"/>
  <c r="R1039" i="10"/>
  <c r="V1038" i="10"/>
  <c r="E257" i="3" s="1"/>
  <c r="U1038" i="10"/>
  <c r="T1038" i="10"/>
  <c r="U950" i="10"/>
  <c r="T950" i="10"/>
  <c r="R949" i="10"/>
  <c r="R948" i="10"/>
  <c r="R947" i="10"/>
  <c r="R946" i="10"/>
  <c r="R916" i="10"/>
  <c r="U914" i="10"/>
  <c r="T914" i="10"/>
  <c r="S914" i="10"/>
  <c r="R913" i="10"/>
  <c r="R873" i="10"/>
  <c r="U858" i="10"/>
  <c r="T858" i="10"/>
  <c r="S858" i="10"/>
  <c r="R854" i="10"/>
  <c r="R852" i="10"/>
  <c r="R851" i="10"/>
  <c r="R850" i="10"/>
  <c r="R849" i="10"/>
  <c r="R848" i="10"/>
  <c r="R842" i="10"/>
  <c r="R707" i="10"/>
  <c r="V706" i="10"/>
  <c r="U706" i="10"/>
  <c r="T706" i="10"/>
  <c r="S706" i="10"/>
  <c r="R682" i="10"/>
  <c r="R667" i="10"/>
  <c r="R658" i="10"/>
  <c r="R655" i="10"/>
  <c r="R653" i="10"/>
  <c r="R623" i="10"/>
  <c r="R622" i="10"/>
  <c r="R621" i="10"/>
  <c r="R620" i="10"/>
  <c r="R619" i="10"/>
  <c r="V618" i="10"/>
  <c r="U618" i="10"/>
  <c r="T618" i="10"/>
  <c r="S618" i="10"/>
  <c r="R593" i="10"/>
  <c r="R592" i="10"/>
  <c r="R581" i="10"/>
  <c r="R579" i="10"/>
  <c r="R578" i="10"/>
  <c r="R576" i="10"/>
  <c r="R575" i="10"/>
  <c r="V574" i="10"/>
  <c r="U574" i="10"/>
  <c r="T574" i="10"/>
  <c r="S574" i="10"/>
  <c r="R573" i="10"/>
  <c r="R572" i="10"/>
  <c r="R570" i="10"/>
  <c r="V569" i="10"/>
  <c r="U569" i="10"/>
  <c r="T569" i="10"/>
  <c r="S569" i="10"/>
  <c r="R567" i="10"/>
  <c r="R546" i="10"/>
  <c r="R545" i="10"/>
  <c r="V544" i="10"/>
  <c r="U544" i="10"/>
  <c r="T544" i="10"/>
  <c r="S544" i="10"/>
  <c r="R543" i="10"/>
  <c r="R531" i="10"/>
  <c r="R524" i="10"/>
  <c r="V523" i="10"/>
  <c r="U523" i="10"/>
  <c r="T523" i="10"/>
  <c r="S523" i="10"/>
  <c r="R522" i="10"/>
  <c r="R497" i="10"/>
  <c r="R496" i="10"/>
  <c r="V495" i="10"/>
  <c r="U495" i="10"/>
  <c r="T495" i="10"/>
  <c r="S495" i="10"/>
  <c r="R491" i="10"/>
  <c r="R490" i="10"/>
  <c r="R489" i="10"/>
  <c r="R477" i="10"/>
  <c r="B477" i="10"/>
  <c r="R476" i="10"/>
  <c r="V475" i="10"/>
  <c r="E214" i="3" s="1"/>
  <c r="U475" i="10"/>
  <c r="T475" i="10"/>
  <c r="S475" i="10"/>
  <c r="R474" i="10"/>
  <c r="B474" i="10"/>
  <c r="R473" i="10"/>
  <c r="V472" i="10"/>
  <c r="U472" i="10"/>
  <c r="T472" i="10"/>
  <c r="S472" i="10"/>
  <c r="R471" i="10"/>
  <c r="V470" i="10"/>
  <c r="E213" i="3" s="1"/>
  <c r="U470" i="10"/>
  <c r="T470" i="10"/>
  <c r="S470" i="10"/>
  <c r="E226" i="3"/>
  <c r="R469" i="10"/>
  <c r="V468" i="10"/>
  <c r="U468" i="10"/>
  <c r="T468" i="10"/>
  <c r="S468" i="10"/>
  <c r="R467" i="10"/>
  <c r="R466" i="10"/>
  <c r="R465" i="10"/>
  <c r="R464" i="10"/>
  <c r="R463" i="10"/>
  <c r="R462" i="10"/>
  <c r="V461" i="10"/>
  <c r="U461" i="10"/>
  <c r="T461" i="10"/>
  <c r="S461" i="10"/>
  <c r="R415" i="10"/>
  <c r="R413" i="10"/>
  <c r="R451" i="10"/>
  <c r="B451" i="10"/>
  <c r="R450" i="10"/>
  <c r="R449" i="10" s="1"/>
  <c r="R447" i="10"/>
  <c r="B447" i="10"/>
  <c r="R445" i="10"/>
  <c r="V444" i="10"/>
  <c r="E493" i="3" s="1"/>
  <c r="U444" i="10"/>
  <c r="T444" i="10"/>
  <c r="S444" i="10"/>
  <c r="R438" i="10"/>
  <c r="B438" i="10"/>
  <c r="R436" i="10"/>
  <c r="V435" i="10"/>
  <c r="E491" i="3" s="1"/>
  <c r="U435" i="10"/>
  <c r="T435" i="10"/>
  <c r="S435" i="10"/>
  <c r="R434" i="10"/>
  <c r="V433" i="10"/>
  <c r="U433" i="10"/>
  <c r="T433" i="10"/>
  <c r="S433" i="10"/>
  <c r="R432" i="10"/>
  <c r="V431" i="10"/>
  <c r="U431" i="10"/>
  <c r="T431" i="10"/>
  <c r="S431" i="10"/>
  <c r="V429" i="10"/>
  <c r="U429" i="10"/>
  <c r="T429" i="10"/>
  <c r="R428" i="10"/>
  <c r="R427" i="10"/>
  <c r="R426" i="10"/>
  <c r="R425" i="10"/>
  <c r="V424" i="10"/>
  <c r="U424" i="10"/>
  <c r="T424" i="10"/>
  <c r="S424" i="10"/>
  <c r="R422" i="10"/>
  <c r="R421" i="10"/>
  <c r="R420" i="10"/>
  <c r="R410" i="10"/>
  <c r="R408" i="10"/>
  <c r="R407" i="10"/>
  <c r="R406" i="10"/>
  <c r="R405" i="10"/>
  <c r="V404" i="10"/>
  <c r="U404" i="10"/>
  <c r="T404" i="10"/>
  <c r="S404" i="10"/>
  <c r="R403" i="10"/>
  <c r="R390" i="10"/>
  <c r="V389" i="10"/>
  <c r="U389" i="10"/>
  <c r="T389" i="10"/>
  <c r="S389" i="10"/>
  <c r="R388" i="10"/>
  <c r="V387" i="10"/>
  <c r="E205" i="3" s="1"/>
  <c r="U387" i="10"/>
  <c r="T387" i="10"/>
  <c r="S387" i="10"/>
  <c r="R386" i="10"/>
  <c r="V385" i="10"/>
  <c r="U385" i="10"/>
  <c r="T385" i="10"/>
  <c r="S385" i="10"/>
  <c r="R384" i="10"/>
  <c r="V383" i="10"/>
  <c r="U383" i="10"/>
  <c r="T383" i="10"/>
  <c r="S383" i="10"/>
  <c r="R382" i="10"/>
  <c r="B382" i="10"/>
  <c r="R381" i="10"/>
  <c r="V380" i="10"/>
  <c r="E465" i="3" s="1"/>
  <c r="U380" i="10"/>
  <c r="T380" i="10"/>
  <c r="S380" i="10"/>
  <c r="R378" i="10"/>
  <c r="B378" i="10"/>
  <c r="R377" i="10"/>
  <c r="V376" i="10"/>
  <c r="E478" i="3" s="1"/>
  <c r="U376" i="10"/>
  <c r="T376" i="10"/>
  <c r="S376" i="10"/>
  <c r="R375" i="10"/>
  <c r="V374" i="10"/>
  <c r="E199" i="3" s="1"/>
  <c r="U374" i="10"/>
  <c r="T374" i="10"/>
  <c r="S374" i="10"/>
  <c r="R373" i="10"/>
  <c r="B373" i="10"/>
  <c r="R371" i="10"/>
  <c r="V370" i="10"/>
  <c r="E464" i="3" s="1"/>
  <c r="U370" i="10"/>
  <c r="T370" i="10"/>
  <c r="S370" i="10"/>
  <c r="R369" i="10"/>
  <c r="B369" i="10"/>
  <c r="R368" i="10"/>
  <c r="V367" i="10"/>
  <c r="E461" i="3" s="1"/>
  <c r="U367" i="10"/>
  <c r="T367" i="10"/>
  <c r="S367" i="10"/>
  <c r="R366" i="10"/>
  <c r="R363" i="10"/>
  <c r="R362" i="10"/>
  <c r="R360" i="10"/>
  <c r="V359" i="10"/>
  <c r="U359" i="10"/>
  <c r="T359" i="10"/>
  <c r="S359" i="10"/>
  <c r="R350" i="10"/>
  <c r="R348" i="10"/>
  <c r="V347" i="10"/>
  <c r="U347" i="10"/>
  <c r="T347" i="10"/>
  <c r="S347" i="10"/>
  <c r="R346" i="10"/>
  <c r="V345" i="10"/>
  <c r="U345" i="10"/>
  <c r="T345" i="10"/>
  <c r="S345" i="10"/>
  <c r="R344" i="10"/>
  <c r="V343" i="10"/>
  <c r="U343" i="10"/>
  <c r="T343" i="10"/>
  <c r="S343" i="10"/>
  <c r="R342" i="10"/>
  <c r="V341" i="10"/>
  <c r="U341" i="10"/>
  <c r="T341" i="10"/>
  <c r="S341" i="10"/>
  <c r="R340" i="10"/>
  <c r="R339" i="10"/>
  <c r="R338" i="10"/>
  <c r="R337" i="10"/>
  <c r="R336" i="10"/>
  <c r="V335" i="10"/>
  <c r="U335" i="10"/>
  <c r="T335" i="10"/>
  <c r="S335" i="10"/>
  <c r="R332" i="10"/>
  <c r="V331" i="10"/>
  <c r="U331" i="10"/>
  <c r="T331" i="10"/>
  <c r="S331" i="10"/>
  <c r="R330" i="10"/>
  <c r="V329" i="10"/>
  <c r="U329" i="10"/>
  <c r="T329" i="10"/>
  <c r="S329" i="10"/>
  <c r="B328" i="10"/>
  <c r="V326" i="10"/>
  <c r="U326" i="10"/>
  <c r="T326" i="10"/>
  <c r="B325" i="10"/>
  <c r="V322" i="10"/>
  <c r="U322" i="10"/>
  <c r="T322" i="10"/>
  <c r="B321" i="10"/>
  <c r="R320" i="10"/>
  <c r="G320" i="10"/>
  <c r="V319" i="10"/>
  <c r="U319" i="10"/>
  <c r="T319" i="10"/>
  <c r="R317" i="10"/>
  <c r="B317" i="10"/>
  <c r="R315" i="10"/>
  <c r="V314" i="10"/>
  <c r="U314" i="10"/>
  <c r="T314" i="10"/>
  <c r="S314" i="10"/>
  <c r="R313" i="10"/>
  <c r="B313" i="10"/>
  <c r="R311" i="10"/>
  <c r="V310" i="10"/>
  <c r="E468" i="3" s="1"/>
  <c r="U310" i="10"/>
  <c r="T310" i="10"/>
  <c r="S310" i="10"/>
  <c r="R309" i="10"/>
  <c r="V308" i="10"/>
  <c r="E200" i="3" s="1"/>
  <c r="U308" i="10"/>
  <c r="T308" i="10"/>
  <c r="S308" i="10"/>
  <c r="R307" i="10"/>
  <c r="B307" i="10"/>
  <c r="R306" i="10"/>
  <c r="V305" i="10"/>
  <c r="U305" i="10"/>
  <c r="T305" i="10"/>
  <c r="S305" i="10"/>
  <c r="R304" i="10"/>
  <c r="B304" i="10"/>
  <c r="R303" i="10"/>
  <c r="V302" i="10"/>
  <c r="U302" i="10"/>
  <c r="T302" i="10"/>
  <c r="S302" i="10"/>
  <c r="R301" i="10"/>
  <c r="B301" i="10"/>
  <c r="R300" i="10"/>
  <c r="V299" i="10"/>
  <c r="U299" i="10"/>
  <c r="T299" i="10"/>
  <c r="S299" i="10"/>
  <c r="R298" i="10"/>
  <c r="B298" i="10"/>
  <c r="R297" i="10"/>
  <c r="V296" i="10"/>
  <c r="U296" i="10"/>
  <c r="T296" i="10"/>
  <c r="S296" i="10"/>
  <c r="R294" i="10"/>
  <c r="B294" i="10"/>
  <c r="R292" i="10"/>
  <c r="V291" i="10"/>
  <c r="E459" i="3" s="1"/>
  <c r="U291" i="10"/>
  <c r="T291" i="10"/>
  <c r="S291" i="10"/>
  <c r="R275" i="10"/>
  <c r="B275" i="10"/>
  <c r="R274" i="10"/>
  <c r="R259" i="10"/>
  <c r="B259" i="10"/>
  <c r="R253" i="10"/>
  <c r="R252" i="10"/>
  <c r="R250" i="10"/>
  <c r="V249" i="10"/>
  <c r="U249" i="10"/>
  <c r="T249" i="10"/>
  <c r="R248" i="10"/>
  <c r="R189" i="10"/>
  <c r="B189" i="10"/>
  <c r="R187" i="10"/>
  <c r="B187" i="10"/>
  <c r="R186" i="10"/>
  <c r="V185" i="10"/>
  <c r="U185" i="10"/>
  <c r="T185" i="10"/>
  <c r="S185" i="10"/>
  <c r="R184" i="10"/>
  <c r="B184" i="10"/>
  <c r="R182" i="10"/>
  <c r="B182" i="10"/>
  <c r="R181" i="10"/>
  <c r="V180" i="10"/>
  <c r="U180" i="10"/>
  <c r="T180" i="10"/>
  <c r="S180" i="10"/>
  <c r="R168" i="10"/>
  <c r="B168" i="10"/>
  <c r="R166" i="10"/>
  <c r="B166" i="10"/>
  <c r="R165" i="10"/>
  <c r="V164" i="10"/>
  <c r="U164" i="10"/>
  <c r="T164" i="10"/>
  <c r="S164" i="10"/>
  <c r="R163" i="10"/>
  <c r="B163" i="10"/>
  <c r="R161" i="10"/>
  <c r="B161" i="10"/>
  <c r="R160" i="10"/>
  <c r="V159" i="10"/>
  <c r="U159" i="10"/>
  <c r="T159" i="10"/>
  <c r="S159" i="10"/>
  <c r="R91" i="10"/>
  <c r="B91" i="10"/>
  <c r="R90" i="10"/>
  <c r="V89" i="10"/>
  <c r="U89" i="10"/>
  <c r="T89" i="10"/>
  <c r="S89" i="10"/>
  <c r="R82" i="10"/>
  <c r="B82" i="10"/>
  <c r="R81" i="10"/>
  <c r="V80" i="10"/>
  <c r="U80" i="10"/>
  <c r="T80" i="10"/>
  <c r="S80" i="10"/>
  <c r="B78" i="10"/>
  <c r="B76" i="10"/>
  <c r="U74" i="10"/>
  <c r="T74" i="10"/>
  <c r="S74" i="10"/>
  <c r="R63" i="10"/>
  <c r="B63" i="10"/>
  <c r="R61" i="10"/>
  <c r="B61" i="10"/>
  <c r="R60" i="10"/>
  <c r="V59" i="10"/>
  <c r="U59" i="10"/>
  <c r="T59" i="10"/>
  <c r="R136" i="10"/>
  <c r="R135" i="10"/>
  <c r="V134" i="10"/>
  <c r="E180" i="3" s="1"/>
  <c r="U134" i="10"/>
  <c r="T134" i="10"/>
  <c r="S134" i="10"/>
  <c r="R133" i="10"/>
  <c r="R132" i="10"/>
  <c r="B132" i="10"/>
  <c r="R131" i="10"/>
  <c r="V130" i="10"/>
  <c r="V125" i="10" s="1"/>
  <c r="U130" i="10"/>
  <c r="T130" i="10"/>
  <c r="T125" i="10" s="1"/>
  <c r="S130" i="10"/>
  <c r="S125" i="10" s="1"/>
  <c r="R126" i="10"/>
  <c r="R124" i="10"/>
  <c r="B124" i="10"/>
  <c r="R123" i="10"/>
  <c r="V122" i="10"/>
  <c r="U122" i="10"/>
  <c r="T122" i="10"/>
  <c r="S122" i="10"/>
  <c r="R121" i="10"/>
  <c r="B121" i="10"/>
  <c r="R119" i="10"/>
  <c r="V118" i="10"/>
  <c r="U118" i="10"/>
  <c r="T118" i="10"/>
  <c r="S118" i="10"/>
  <c r="R116" i="10"/>
  <c r="B116" i="10"/>
  <c r="R115" i="10"/>
  <c r="V114" i="10"/>
  <c r="U114" i="10"/>
  <c r="T114" i="10"/>
  <c r="S114" i="10"/>
  <c r="R113" i="10"/>
  <c r="B113" i="10"/>
  <c r="R112" i="10"/>
  <c r="V111" i="10"/>
  <c r="U111" i="10"/>
  <c r="T111" i="10"/>
  <c r="S111" i="10"/>
  <c r="R110" i="10"/>
  <c r="B110" i="10"/>
  <c r="R109" i="10"/>
  <c r="V108" i="10"/>
  <c r="U108" i="10"/>
  <c r="T108" i="10"/>
  <c r="S108" i="10"/>
  <c r="R107" i="10"/>
  <c r="B107" i="10"/>
  <c r="R106" i="10"/>
  <c r="V105" i="10"/>
  <c r="U105" i="10"/>
  <c r="T105" i="10"/>
  <c r="S105" i="10"/>
  <c r="R104" i="10"/>
  <c r="B104" i="10"/>
  <c r="R102" i="10"/>
  <c r="V101" i="10"/>
  <c r="U101" i="10"/>
  <c r="T101" i="10"/>
  <c r="S101" i="10"/>
  <c r="R100" i="10"/>
  <c r="B100" i="10"/>
  <c r="R99" i="10"/>
  <c r="V98" i="10"/>
  <c r="U98" i="10"/>
  <c r="T98" i="10"/>
  <c r="S98" i="10"/>
  <c r="R97" i="10"/>
  <c r="R94" i="10" s="1"/>
  <c r="B97" i="10"/>
  <c r="V94" i="10"/>
  <c r="U94" i="10"/>
  <c r="T94" i="10"/>
  <c r="S94" i="10"/>
  <c r="I50" i="10"/>
  <c r="I48" i="10"/>
  <c r="U41" i="10"/>
  <c r="T41" i="10"/>
  <c r="R45" i="10"/>
  <c r="R44" i="10"/>
  <c r="R43" i="10"/>
  <c r="R42" i="10"/>
  <c r="W1200" i="10" s="1"/>
  <c r="R40" i="10"/>
  <c r="D40" i="10"/>
  <c r="R38" i="10"/>
  <c r="V34" i="10"/>
  <c r="U34" i="10"/>
  <c r="T34" i="10"/>
  <c r="R33" i="10"/>
  <c r="R32" i="10"/>
  <c r="V31" i="10"/>
  <c r="U31" i="10"/>
  <c r="T31" i="10"/>
  <c r="S31" i="10"/>
  <c r="R29" i="10"/>
  <c r="R28" i="10"/>
  <c r="R27" i="10"/>
  <c r="R26" i="10"/>
  <c r="V25" i="10"/>
  <c r="V1197" i="10" s="1"/>
  <c r="U25" i="10"/>
  <c r="U1197" i="10" s="1"/>
  <c r="U1221" i="10" s="1"/>
  <c r="T25" i="10"/>
  <c r="T1197" i="10" s="1"/>
  <c r="T1221" i="10" s="1"/>
  <c r="S25" i="10"/>
  <c r="S1197" i="10" s="1"/>
  <c r="R21" i="10"/>
  <c r="R20" i="10"/>
  <c r="V19" i="10"/>
  <c r="V1196" i="10" s="1"/>
  <c r="V1220" i="10" s="1"/>
  <c r="U19" i="10"/>
  <c r="U1196" i="10" s="1"/>
  <c r="U1220" i="10" s="1"/>
  <c r="T19" i="10"/>
  <c r="T1196" i="10" s="1"/>
  <c r="T1220" i="10" s="1"/>
  <c r="S19" i="10"/>
  <c r="S1196" i="10" s="1"/>
  <c r="S1220" i="10" s="1"/>
  <c r="R18" i="10"/>
  <c r="R16" i="10"/>
  <c r="R15" i="10"/>
  <c r="R13" i="10"/>
  <c r="V12" i="10"/>
  <c r="V1195" i="10" s="1"/>
  <c r="V1219" i="10" s="1"/>
  <c r="U12" i="10"/>
  <c r="U1195" i="10" s="1"/>
  <c r="U1219" i="10" s="1"/>
  <c r="T12" i="10"/>
  <c r="T1195" i="10" s="1"/>
  <c r="P11" i="10"/>
  <c r="Q11" i="10" s="1"/>
  <c r="R11" i="10" s="1"/>
  <c r="S11" i="10" s="1"/>
  <c r="T11" i="10" s="1"/>
  <c r="U11" i="10" s="1"/>
  <c r="V11" i="10" s="1"/>
  <c r="G147" i="9"/>
  <c r="G109" i="9"/>
  <c r="C107" i="9"/>
  <c r="C102" i="9"/>
  <c r="D102" i="9" s="1"/>
  <c r="E102" i="9" s="1"/>
  <c r="F102" i="9" s="1"/>
  <c r="G102" i="9" s="1"/>
  <c r="H102" i="9" s="1"/>
  <c r="I102" i="9" s="1"/>
  <c r="J102" i="9" s="1"/>
  <c r="K102" i="9" s="1"/>
  <c r="G97" i="9"/>
  <c r="C95" i="9"/>
  <c r="C90" i="9"/>
  <c r="D90" i="9" s="1"/>
  <c r="E90" i="9" s="1"/>
  <c r="F90" i="9" s="1"/>
  <c r="G90" i="9" s="1"/>
  <c r="H90" i="9" s="1"/>
  <c r="I90" i="9" s="1"/>
  <c r="J90" i="9" s="1"/>
  <c r="K90" i="9" s="1"/>
  <c r="G85" i="9"/>
  <c r="C83" i="9"/>
  <c r="C78" i="9"/>
  <c r="D78" i="9" s="1"/>
  <c r="E78" i="9" s="1"/>
  <c r="F78" i="9" s="1"/>
  <c r="G78" i="9" s="1"/>
  <c r="H78" i="9" s="1"/>
  <c r="I78" i="9" s="1"/>
  <c r="J78" i="9" s="1"/>
  <c r="K78" i="9" s="1"/>
  <c r="G73" i="9"/>
  <c r="C71" i="9"/>
  <c r="C66" i="9"/>
  <c r="D66" i="9" s="1"/>
  <c r="E66" i="9" s="1"/>
  <c r="F66" i="9" s="1"/>
  <c r="G66" i="9" s="1"/>
  <c r="H66" i="9" s="1"/>
  <c r="I66" i="9" s="1"/>
  <c r="J66" i="9" s="1"/>
  <c r="K66" i="9" s="1"/>
  <c r="G61" i="9"/>
  <c r="C59" i="9"/>
  <c r="I58" i="9"/>
  <c r="D58" i="9" s="1"/>
  <c r="K58" i="9" s="1"/>
  <c r="I57" i="9"/>
  <c r="D57" i="9" s="1"/>
  <c r="K57" i="9" s="1"/>
  <c r="I56" i="9"/>
  <c r="D56" i="9" s="1"/>
  <c r="K56" i="9" s="1"/>
  <c r="I55" i="9"/>
  <c r="D55" i="9" s="1"/>
  <c r="K55" i="9" s="1"/>
  <c r="I54" i="9"/>
  <c r="D54" i="9" s="1"/>
  <c r="K54" i="9" s="1"/>
  <c r="C53" i="9"/>
  <c r="D53" i="9" s="1"/>
  <c r="E53" i="9" s="1"/>
  <c r="F53" i="9" s="1"/>
  <c r="G53" i="9" s="1"/>
  <c r="H53" i="9" s="1"/>
  <c r="I53" i="9" s="1"/>
  <c r="J53" i="9" s="1"/>
  <c r="K53" i="9" s="1"/>
  <c r="G48" i="9"/>
  <c r="C46" i="9"/>
  <c r="C41" i="9"/>
  <c r="D41" i="9" s="1"/>
  <c r="E41" i="9" s="1"/>
  <c r="F41" i="9" s="1"/>
  <c r="G41" i="9" s="1"/>
  <c r="H41" i="9" s="1"/>
  <c r="I41" i="9" s="1"/>
  <c r="J41" i="9" s="1"/>
  <c r="K41" i="9" s="1"/>
  <c r="G36" i="9"/>
  <c r="C34" i="9"/>
  <c r="C29" i="9"/>
  <c r="D29" i="9" s="1"/>
  <c r="E29" i="9" s="1"/>
  <c r="F29" i="9" s="1"/>
  <c r="G29" i="9" s="1"/>
  <c r="H29" i="9" s="1"/>
  <c r="I29" i="9" s="1"/>
  <c r="J29" i="9" s="1"/>
  <c r="K29" i="9" s="1"/>
  <c r="G24" i="9"/>
  <c r="E20" i="9"/>
  <c r="D20" i="9"/>
  <c r="C20" i="9"/>
  <c r="C17" i="9"/>
  <c r="D17" i="9" s="1"/>
  <c r="E17" i="9" s="1"/>
  <c r="F17" i="9" s="1"/>
  <c r="G17" i="9" s="1"/>
  <c r="H17" i="9" s="1"/>
  <c r="I17" i="9" s="1"/>
  <c r="J17" i="9" s="1"/>
  <c r="K17" i="9" s="1"/>
  <c r="L17" i="9" s="1"/>
  <c r="M17" i="9" s="1"/>
  <c r="N17" i="9" s="1"/>
  <c r="D97" i="9"/>
  <c r="D73" i="9"/>
  <c r="D48" i="9"/>
  <c r="E115" i="8"/>
  <c r="D115" i="8"/>
  <c r="C115" i="8"/>
  <c r="E104" i="8"/>
  <c r="D104" i="8"/>
  <c r="C104" i="8"/>
  <c r="K55" i="8"/>
  <c r="J55" i="8"/>
  <c r="I55" i="8"/>
  <c r="K54" i="8"/>
  <c r="J54" i="8"/>
  <c r="I54" i="8"/>
  <c r="K53" i="8"/>
  <c r="J53" i="8"/>
  <c r="I53" i="8"/>
  <c r="K52" i="8"/>
  <c r="J52" i="8"/>
  <c r="I52" i="8"/>
  <c r="K51" i="8"/>
  <c r="J51" i="8"/>
  <c r="I51" i="8"/>
  <c r="E33" i="8"/>
  <c r="D33" i="8"/>
  <c r="C33" i="8"/>
  <c r="E28" i="8"/>
  <c r="D28" i="8"/>
  <c r="C119" i="8"/>
  <c r="E108" i="3" l="1"/>
  <c r="U108" i="3" s="1"/>
  <c r="U468" i="3"/>
  <c r="U205" i="3"/>
  <c r="E115" i="3"/>
  <c r="U115" i="3" s="1"/>
  <c r="E390" i="3"/>
  <c r="E210" i="3"/>
  <c r="E209" i="3" s="1"/>
  <c r="U200" i="3"/>
  <c r="E110" i="3"/>
  <c r="U110" i="3" s="1"/>
  <c r="V1227" i="10"/>
  <c r="E462" i="3"/>
  <c r="U199" i="3"/>
  <c r="E109" i="3"/>
  <c r="U109" i="3" s="1"/>
  <c r="R349" i="10"/>
  <c r="T1193" i="10"/>
  <c r="U1193" i="10"/>
  <c r="R273" i="10"/>
  <c r="R272" i="10" s="1"/>
  <c r="U125" i="10"/>
  <c r="S1227" i="10"/>
  <c r="R118" i="10"/>
  <c r="R101" i="10"/>
  <c r="B217" i="10"/>
  <c r="B212" i="10"/>
  <c r="B207" i="10"/>
  <c r="B202" i="10"/>
  <c r="R1038" i="10"/>
  <c r="B456" i="10"/>
  <c r="B154" i="10"/>
  <c r="B150" i="10"/>
  <c r="B146" i="10"/>
  <c r="B142" i="10"/>
  <c r="R523" i="10"/>
  <c r="R448" i="10"/>
  <c r="R618" i="10"/>
  <c r="S93" i="10"/>
  <c r="S1231" i="10"/>
  <c r="T1227" i="10"/>
  <c r="T1229" i="10" s="1"/>
  <c r="U1227" i="10"/>
  <c r="U1229" i="10" s="1"/>
  <c r="V1231" i="10"/>
  <c r="T1231" i="10"/>
  <c r="T1233" i="10" s="1"/>
  <c r="U1231" i="10"/>
  <c r="U1233" i="10" s="1"/>
  <c r="U1235" i="10"/>
  <c r="U1237" i="10" s="1"/>
  <c r="T1235" i="10"/>
  <c r="T1237" i="10" s="1"/>
  <c r="V1235" i="10"/>
  <c r="S1235" i="10"/>
  <c r="R654" i="10"/>
  <c r="S568" i="10"/>
  <c r="U568" i="10"/>
  <c r="U705" i="10"/>
  <c r="U1199" i="10"/>
  <c r="U1223" i="10" s="1"/>
  <c r="U1186" i="10"/>
  <c r="S494" i="10"/>
  <c r="R495" i="10"/>
  <c r="V568" i="10"/>
  <c r="R574" i="10"/>
  <c r="R853" i="10"/>
  <c r="T1199" i="10"/>
  <c r="T1223" i="10" s="1"/>
  <c r="T1186" i="10"/>
  <c r="T494" i="10"/>
  <c r="R706" i="10"/>
  <c r="V494" i="10"/>
  <c r="U494" i="10"/>
  <c r="R544" i="10"/>
  <c r="T568" i="10"/>
  <c r="T705" i="10"/>
  <c r="S326" i="10"/>
  <c r="R412" i="10"/>
  <c r="R409" i="10" s="1"/>
  <c r="V295" i="10"/>
  <c r="E463" i="3" s="1"/>
  <c r="B287" i="10"/>
  <c r="B278" i="10"/>
  <c r="B237" i="10"/>
  <c r="B283" i="10"/>
  <c r="B233" i="10"/>
  <c r="U1182" i="10"/>
  <c r="T1183" i="10"/>
  <c r="V1183" i="10"/>
  <c r="T1184" i="10"/>
  <c r="T30" i="10"/>
  <c r="T1198" i="10" s="1"/>
  <c r="T1222" i="10" s="1"/>
  <c r="R114" i="10"/>
  <c r="R122" i="10"/>
  <c r="T58" i="10"/>
  <c r="T79" i="10"/>
  <c r="T158" i="10"/>
  <c r="V158" i="10"/>
  <c r="R164" i="10"/>
  <c r="T179" i="10"/>
  <c r="V179" i="10"/>
  <c r="R185" i="10"/>
  <c r="R308" i="10"/>
  <c r="R314" i="10"/>
  <c r="R331" i="10"/>
  <c r="R341" i="10"/>
  <c r="R345" i="10"/>
  <c r="R359" i="10"/>
  <c r="R370" i="10"/>
  <c r="R376" i="10"/>
  <c r="R383" i="10"/>
  <c r="R387" i="10"/>
  <c r="R431" i="10"/>
  <c r="R435" i="10"/>
  <c r="T1182" i="10"/>
  <c r="V1182" i="10"/>
  <c r="S1183" i="10"/>
  <c r="U1183" i="10"/>
  <c r="S1184" i="10"/>
  <c r="U1184" i="10"/>
  <c r="U30" i="10"/>
  <c r="U1198" i="10" s="1"/>
  <c r="U1222" i="10" s="1"/>
  <c r="R98" i="10"/>
  <c r="U58" i="10"/>
  <c r="U79" i="10"/>
  <c r="R80" i="10"/>
  <c r="U158" i="10"/>
  <c r="R159" i="10"/>
  <c r="U179" i="10"/>
  <c r="R180" i="10"/>
  <c r="R310" i="10"/>
  <c r="R329" i="10"/>
  <c r="R343" i="10"/>
  <c r="R347" i="10"/>
  <c r="R367" i="10"/>
  <c r="R374" i="10"/>
  <c r="R385" i="10"/>
  <c r="R470" i="10"/>
  <c r="R475" i="10"/>
  <c r="R468" i="10"/>
  <c r="R472" i="10"/>
  <c r="V1184" i="10"/>
  <c r="R108" i="10"/>
  <c r="S58" i="10"/>
  <c r="R89" i="10"/>
  <c r="R327" i="10"/>
  <c r="R328" i="10"/>
  <c r="R111" i="10"/>
  <c r="R323" i="10"/>
  <c r="R444" i="10"/>
  <c r="R433" i="10"/>
  <c r="V79" i="10"/>
  <c r="S158" i="10"/>
  <c r="S179" i="10"/>
  <c r="S79" i="10"/>
  <c r="B224" i="10"/>
  <c r="B228" i="10"/>
  <c r="B241" i="10"/>
  <c r="B170" i="10"/>
  <c r="B87" i="10"/>
  <c r="B245" i="10"/>
  <c r="B191" i="10"/>
  <c r="B65" i="10"/>
  <c r="B70" i="10"/>
  <c r="B265" i="10"/>
  <c r="B269" i="10"/>
  <c r="B261" i="10"/>
  <c r="B196" i="10"/>
  <c r="B175" i="10"/>
  <c r="R59" i="10"/>
  <c r="R291" i="10"/>
  <c r="R256" i="10"/>
  <c r="R255" i="10" s="1"/>
  <c r="B84" i="10"/>
  <c r="R105" i="10"/>
  <c r="R380" i="10"/>
  <c r="R19" i="10"/>
  <c r="R361" i="10"/>
  <c r="S117" i="10"/>
  <c r="U117" i="10"/>
  <c r="R130" i="10"/>
  <c r="R125" i="10" s="1"/>
  <c r="U93" i="10"/>
  <c r="S379" i="10"/>
  <c r="R461" i="10"/>
  <c r="S295" i="10"/>
  <c r="U295" i="10"/>
  <c r="T295" i="10"/>
  <c r="R305" i="10"/>
  <c r="T93" i="10"/>
  <c r="V93" i="10"/>
  <c r="T117" i="10"/>
  <c r="R389" i="10"/>
  <c r="R249" i="10"/>
  <c r="U318" i="10"/>
  <c r="R424" i="10"/>
  <c r="R25" i="10"/>
  <c r="U379" i="10"/>
  <c r="V117" i="10"/>
  <c r="R299" i="10"/>
  <c r="R302" i="10"/>
  <c r="T318" i="10"/>
  <c r="T379" i="10"/>
  <c r="R569" i="10"/>
  <c r="R31" i="10"/>
  <c r="V30" i="10"/>
  <c r="V1198" i="10" s="1"/>
  <c r="R335" i="10"/>
  <c r="R134" i="10"/>
  <c r="R296" i="10"/>
  <c r="V318" i="10"/>
  <c r="V379" i="10"/>
  <c r="R404" i="10"/>
  <c r="J56" i="8"/>
  <c r="K56" i="8"/>
  <c r="I56" i="8"/>
  <c r="D60" i="8"/>
  <c r="G60" i="8" s="1"/>
  <c r="D84" i="8"/>
  <c r="D96" i="8"/>
  <c r="D107" i="8"/>
  <c r="D119" i="8"/>
  <c r="G15" i="9"/>
  <c r="J15" i="9" s="1"/>
  <c r="D72" i="8"/>
  <c r="J72" i="8" s="1"/>
  <c r="M15" i="9"/>
  <c r="B102" i="10"/>
  <c r="B115" i="10"/>
  <c r="B119" i="10"/>
  <c r="B131" i="10"/>
  <c r="B90" i="10"/>
  <c r="B257" i="10"/>
  <c r="B95" i="10"/>
  <c r="B109" i="10"/>
  <c r="B60" i="10"/>
  <c r="B165" i="10"/>
  <c r="B181" i="10"/>
  <c r="B292" i="10"/>
  <c r="B297" i="10"/>
  <c r="G49" i="8"/>
  <c r="J49" i="8"/>
  <c r="K59" i="9"/>
  <c r="C49" i="8"/>
  <c r="E49" i="8"/>
  <c r="C60" i="8"/>
  <c r="E60" i="8"/>
  <c r="C72" i="8"/>
  <c r="E72" i="8"/>
  <c r="C84" i="8"/>
  <c r="E84" i="8"/>
  <c r="C96" i="8"/>
  <c r="E96" i="8"/>
  <c r="C107" i="8"/>
  <c r="E107" i="8"/>
  <c r="F15" i="9"/>
  <c r="I15" i="9" s="1"/>
  <c r="H15" i="9"/>
  <c r="K15" i="9" s="1"/>
  <c r="L15" i="9"/>
  <c r="N15" i="9"/>
  <c r="D24" i="9"/>
  <c r="D36" i="9"/>
  <c r="D61" i="9"/>
  <c r="D85" i="9"/>
  <c r="B99" i="10"/>
  <c r="B106" i="10"/>
  <c r="B112" i="10"/>
  <c r="B123" i="10"/>
  <c r="B75" i="10"/>
  <c r="B81" i="10"/>
  <c r="B160" i="10"/>
  <c r="B186" i="10"/>
  <c r="B274" i="10"/>
  <c r="B300" i="10"/>
  <c r="B306" i="10"/>
  <c r="B315" i="10"/>
  <c r="B320" i="10"/>
  <c r="B327" i="10"/>
  <c r="B368" i="10"/>
  <c r="B377" i="10"/>
  <c r="B381" i="10"/>
  <c r="B445" i="10"/>
  <c r="B473" i="10"/>
  <c r="B303" i="10"/>
  <c r="B311" i="10"/>
  <c r="B323" i="10"/>
  <c r="B371" i="10"/>
  <c r="B436" i="10"/>
  <c r="B450" i="10"/>
  <c r="B476" i="10"/>
  <c r="S157" i="10" l="1"/>
  <c r="U157" i="10"/>
  <c r="V157" i="10"/>
  <c r="E451" i="3" s="1"/>
  <c r="E91" i="3" s="1"/>
  <c r="T157" i="10"/>
  <c r="V254" i="10"/>
  <c r="R93" i="10"/>
  <c r="U254" i="10"/>
  <c r="T254" i="10"/>
  <c r="R325" i="10"/>
  <c r="R322" i="10" s="1"/>
  <c r="S322" i="10"/>
  <c r="U1192" i="10"/>
  <c r="U1216" i="10" s="1"/>
  <c r="R1227" i="10"/>
  <c r="R1231" i="10"/>
  <c r="R1235" i="10"/>
  <c r="S1192" i="10"/>
  <c r="V1192" i="10"/>
  <c r="T1192" i="10"/>
  <c r="R568" i="10"/>
  <c r="R494" i="10"/>
  <c r="R1197" i="10"/>
  <c r="R1196" i="10"/>
  <c r="U1217" i="10"/>
  <c r="T57" i="10"/>
  <c r="S57" i="10"/>
  <c r="U57" i="10"/>
  <c r="R79" i="10"/>
  <c r="R326" i="10"/>
  <c r="R179" i="10"/>
  <c r="R158" i="10"/>
  <c r="V1185" i="10"/>
  <c r="T1185" i="10"/>
  <c r="R1183" i="10"/>
  <c r="U1185" i="10"/>
  <c r="R1184" i="10"/>
  <c r="R117" i="10"/>
  <c r="R379" i="10"/>
  <c r="R295" i="10"/>
  <c r="J60" i="8"/>
  <c r="G72" i="8"/>
  <c r="I72" i="8"/>
  <c r="F72" i="8"/>
  <c r="I60" i="8"/>
  <c r="F60" i="8"/>
  <c r="H49" i="8"/>
  <c r="K49" i="8"/>
  <c r="K72" i="8"/>
  <c r="H72" i="8"/>
  <c r="H60" i="8"/>
  <c r="K60" i="8"/>
  <c r="F49" i="8"/>
  <c r="I49" i="8"/>
  <c r="U92" i="10" l="1"/>
  <c r="U1187" i="10" s="1"/>
  <c r="R1192" i="10"/>
  <c r="R157" i="10"/>
  <c r="W1197" i="10"/>
  <c r="R1220" i="10"/>
  <c r="W1196" i="10"/>
  <c r="S1194" i="10"/>
  <c r="U1194" i="10"/>
  <c r="U1218" i="10" s="1"/>
  <c r="T1194" i="10"/>
  <c r="T1218" i="10" s="1"/>
  <c r="R321" i="10"/>
  <c r="R319" i="10" s="1"/>
  <c r="R318" i="10" s="1"/>
  <c r="R254" i="10" s="1"/>
  <c r="S319" i="10"/>
  <c r="S318" i="10" s="1"/>
  <c r="S254" i="10" l="1"/>
  <c r="W1220" i="10"/>
  <c r="U1190" i="10"/>
  <c r="U1214" i="10" s="1"/>
  <c r="W1192" i="10"/>
  <c r="S1206" i="10" l="1"/>
  <c r="S1218" i="10" s="1"/>
  <c r="U1191" i="10"/>
  <c r="U1215" i="10" s="1"/>
  <c r="J2" i="8" l="1"/>
  <c r="G3" i="13"/>
  <c r="V2" i="10"/>
  <c r="M2" i="9"/>
  <c r="E2" i="7"/>
  <c r="V11" i="3" l="1"/>
  <c r="S11" i="3"/>
  <c r="T11" i="3" l="1"/>
  <c r="W11" i="3"/>
  <c r="R1076" i="3"/>
  <c r="T1076" i="3"/>
  <c r="S1077" i="3"/>
  <c r="S1074" i="3"/>
  <c r="T1077" i="3" l="1"/>
  <c r="T1074" i="3"/>
  <c r="R1077" i="3"/>
  <c r="R1074" i="3"/>
  <c r="S1076" i="3"/>
  <c r="S1075" i="3" s="1"/>
  <c r="R1075" i="3" l="1"/>
  <c r="T1075" i="3"/>
  <c r="E92" i="8" l="1"/>
  <c r="D92" i="8"/>
  <c r="A1021" i="3" l="1"/>
  <c r="A1022" i="3"/>
  <c r="A1023" i="3"/>
  <c r="A1024" i="3"/>
  <c r="A1025" i="3"/>
  <c r="W1024" i="3"/>
  <c r="V1024" i="3"/>
  <c r="U1024" i="3"/>
  <c r="W1023" i="3"/>
  <c r="V1023" i="3"/>
  <c r="U1023" i="3"/>
  <c r="W1022" i="3"/>
  <c r="V1022" i="3"/>
  <c r="U1022" i="3"/>
  <c r="W1021" i="3"/>
  <c r="V1021" i="3"/>
  <c r="U1021" i="3"/>
  <c r="W214" i="3"/>
  <c r="V214" i="3"/>
  <c r="U214" i="3"/>
  <c r="W213" i="3"/>
  <c r="V213" i="3"/>
  <c r="U213" i="3"/>
  <c r="W212" i="3"/>
  <c r="V212" i="3"/>
  <c r="U212" i="3"/>
  <c r="W211" i="3"/>
  <c r="V211" i="3"/>
  <c r="U211" i="3"/>
  <c r="W304" i="3"/>
  <c r="V304" i="3"/>
  <c r="U304" i="3"/>
  <c r="W303" i="3"/>
  <c r="V303" i="3"/>
  <c r="U303" i="3"/>
  <c r="W302" i="3"/>
  <c r="V302" i="3"/>
  <c r="U302" i="3"/>
  <c r="W301" i="3"/>
  <c r="V301" i="3"/>
  <c r="U301" i="3"/>
  <c r="W394" i="3"/>
  <c r="V394" i="3"/>
  <c r="U394" i="3"/>
  <c r="W393" i="3"/>
  <c r="V393" i="3"/>
  <c r="U393" i="3"/>
  <c r="W392" i="3"/>
  <c r="V392" i="3"/>
  <c r="U392" i="3"/>
  <c r="W391" i="3"/>
  <c r="V391" i="3"/>
  <c r="U391" i="3"/>
  <c r="W844" i="3"/>
  <c r="V844" i="3"/>
  <c r="U844" i="3"/>
  <c r="W843" i="3"/>
  <c r="V843" i="3"/>
  <c r="U843" i="3"/>
  <c r="W842" i="3"/>
  <c r="V842" i="3"/>
  <c r="U842" i="3"/>
  <c r="W841" i="3"/>
  <c r="V841" i="3"/>
  <c r="U841" i="3"/>
  <c r="W484" i="3"/>
  <c r="V484" i="3"/>
  <c r="U484" i="3"/>
  <c r="W483" i="3"/>
  <c r="V483" i="3"/>
  <c r="U483" i="3"/>
  <c r="W482" i="3"/>
  <c r="V482" i="3"/>
  <c r="U482" i="3"/>
  <c r="W481" i="3"/>
  <c r="V481" i="3"/>
  <c r="U481" i="3"/>
  <c r="W574" i="3"/>
  <c r="V574" i="3"/>
  <c r="U574" i="3"/>
  <c r="W573" i="3"/>
  <c r="V573" i="3"/>
  <c r="U573" i="3"/>
  <c r="W572" i="3"/>
  <c r="V572" i="3"/>
  <c r="U572" i="3"/>
  <c r="W571" i="3"/>
  <c r="V571" i="3"/>
  <c r="U571" i="3"/>
  <c r="W934" i="3"/>
  <c r="V934" i="3"/>
  <c r="U934" i="3"/>
  <c r="W933" i="3"/>
  <c r="V933" i="3"/>
  <c r="U933" i="3"/>
  <c r="W932" i="3"/>
  <c r="V932" i="3"/>
  <c r="U932" i="3"/>
  <c r="W931" i="3"/>
  <c r="V931" i="3"/>
  <c r="U931" i="3"/>
  <c r="W664" i="3"/>
  <c r="V664" i="3"/>
  <c r="U664" i="3"/>
  <c r="W663" i="3"/>
  <c r="V663" i="3"/>
  <c r="U663" i="3"/>
  <c r="W662" i="3"/>
  <c r="V662" i="3"/>
  <c r="U662" i="3"/>
  <c r="W661" i="3"/>
  <c r="V661" i="3"/>
  <c r="U661" i="3"/>
  <c r="W754" i="3"/>
  <c r="V754" i="3"/>
  <c r="U754" i="3"/>
  <c r="W753" i="3"/>
  <c r="V753" i="3"/>
  <c r="U753" i="3"/>
  <c r="W752" i="3"/>
  <c r="V752" i="3"/>
  <c r="U752" i="3"/>
  <c r="W751" i="3"/>
  <c r="V751" i="3"/>
  <c r="U751" i="3"/>
  <c r="E124" i="3" l="1"/>
  <c r="U124" i="3" s="1"/>
  <c r="E122" i="3"/>
  <c r="U122" i="3" s="1"/>
  <c r="E121" i="3"/>
  <c r="U121" i="3" s="1"/>
  <c r="E123" i="3"/>
  <c r="U123" i="3" s="1"/>
  <c r="G122" i="3"/>
  <c r="W122" i="3" s="1"/>
  <c r="F122" i="3"/>
  <c r="V122" i="3" s="1"/>
  <c r="F124" i="3"/>
  <c r="V124" i="3" s="1"/>
  <c r="G121" i="3"/>
  <c r="W121" i="3" s="1"/>
  <c r="G124" i="3"/>
  <c r="W124" i="3" s="1"/>
  <c r="G123" i="3"/>
  <c r="W123" i="3" s="1"/>
  <c r="F121" i="3"/>
  <c r="V121" i="3" s="1"/>
  <c r="F123" i="3"/>
  <c r="V123" i="3" s="1"/>
  <c r="W1027" i="3" l="1"/>
  <c r="V1027" i="3"/>
  <c r="U1027" i="3"/>
  <c r="W1026" i="3"/>
  <c r="V1026" i="3"/>
  <c r="U1026" i="3"/>
  <c r="W1025" i="3"/>
  <c r="V1025" i="3"/>
  <c r="U1025" i="3"/>
  <c r="A1026" i="3"/>
  <c r="A1027" i="3"/>
  <c r="A1028" i="3"/>
  <c r="W217" i="3"/>
  <c r="V217" i="3"/>
  <c r="U217" i="3"/>
  <c r="W216" i="3"/>
  <c r="V216" i="3"/>
  <c r="U216" i="3"/>
  <c r="W215" i="3"/>
  <c r="V215" i="3"/>
  <c r="U215" i="3"/>
  <c r="W307" i="3"/>
  <c r="V307" i="3"/>
  <c r="U307" i="3"/>
  <c r="W306" i="3"/>
  <c r="V306" i="3"/>
  <c r="U306" i="3"/>
  <c r="W305" i="3"/>
  <c r="V305" i="3"/>
  <c r="U305" i="3"/>
  <c r="W397" i="3"/>
  <c r="V397" i="3"/>
  <c r="U397" i="3"/>
  <c r="W396" i="3"/>
  <c r="V396" i="3"/>
  <c r="U396" i="3"/>
  <c r="W395" i="3"/>
  <c r="V395" i="3"/>
  <c r="U395" i="3"/>
  <c r="W847" i="3"/>
  <c r="V847" i="3"/>
  <c r="U847" i="3"/>
  <c r="W846" i="3"/>
  <c r="V846" i="3"/>
  <c r="U846" i="3"/>
  <c r="W845" i="3"/>
  <c r="V845" i="3"/>
  <c r="U845" i="3"/>
  <c r="W487" i="3"/>
  <c r="V487" i="3"/>
  <c r="U487" i="3"/>
  <c r="W486" i="3"/>
  <c r="V486" i="3"/>
  <c r="U486" i="3"/>
  <c r="W485" i="3"/>
  <c r="V485" i="3"/>
  <c r="U485" i="3"/>
  <c r="W577" i="3"/>
  <c r="V577" i="3"/>
  <c r="U577" i="3"/>
  <c r="W576" i="3"/>
  <c r="V576" i="3"/>
  <c r="U576" i="3"/>
  <c r="W575" i="3"/>
  <c r="V575" i="3"/>
  <c r="U575" i="3"/>
  <c r="W937" i="3"/>
  <c r="V937" i="3"/>
  <c r="U937" i="3"/>
  <c r="W936" i="3"/>
  <c r="V936" i="3"/>
  <c r="U936" i="3"/>
  <c r="W935" i="3"/>
  <c r="V935" i="3"/>
  <c r="U935" i="3"/>
  <c r="W667" i="3"/>
  <c r="V667" i="3"/>
  <c r="U667" i="3"/>
  <c r="W666" i="3"/>
  <c r="V666" i="3"/>
  <c r="U666" i="3"/>
  <c r="W665" i="3"/>
  <c r="V665" i="3"/>
  <c r="U665" i="3"/>
  <c r="U755" i="3"/>
  <c r="V755" i="3"/>
  <c r="W755" i="3"/>
  <c r="U756" i="3"/>
  <c r="V756" i="3"/>
  <c r="W756" i="3"/>
  <c r="U757" i="3"/>
  <c r="V757" i="3"/>
  <c r="W757" i="3"/>
  <c r="E126" i="3" l="1"/>
  <c r="U126" i="3" s="1"/>
  <c r="E125" i="3"/>
  <c r="U125" i="3" s="1"/>
  <c r="E127" i="3"/>
  <c r="U127" i="3" s="1"/>
  <c r="F127" i="3"/>
  <c r="V127" i="3" s="1"/>
  <c r="F126" i="3"/>
  <c r="V126" i="3" s="1"/>
  <c r="G127" i="3"/>
  <c r="W127" i="3" s="1"/>
  <c r="F125" i="3"/>
  <c r="V125" i="3" s="1"/>
  <c r="G126" i="3"/>
  <c r="W126" i="3" s="1"/>
  <c r="G125" i="3"/>
  <c r="W125" i="3" s="1"/>
  <c r="U788" i="3" l="1"/>
  <c r="V788" i="3"/>
  <c r="W788" i="3"/>
  <c r="U789" i="3"/>
  <c r="V789" i="3"/>
  <c r="W789" i="3"/>
  <c r="U790" i="3"/>
  <c r="V790" i="3"/>
  <c r="W790" i="3"/>
  <c r="U791" i="3"/>
  <c r="V791" i="3"/>
  <c r="W791" i="3"/>
  <c r="U792" i="3"/>
  <c r="V792" i="3"/>
  <c r="W792" i="3"/>
  <c r="U793" i="3"/>
  <c r="V793" i="3"/>
  <c r="W793" i="3"/>
  <c r="U794" i="3"/>
  <c r="V794" i="3"/>
  <c r="W794" i="3"/>
  <c r="U795" i="3"/>
  <c r="V795" i="3"/>
  <c r="W795" i="3"/>
  <c r="U796" i="3"/>
  <c r="V796" i="3"/>
  <c r="W796" i="3"/>
  <c r="U797" i="3"/>
  <c r="V797" i="3"/>
  <c r="W797" i="3"/>
  <c r="U798" i="3"/>
  <c r="V798" i="3"/>
  <c r="W798" i="3"/>
  <c r="U799" i="3"/>
  <c r="V799" i="3"/>
  <c r="W799" i="3"/>
  <c r="U698" i="3"/>
  <c r="V698" i="3"/>
  <c r="W698" i="3"/>
  <c r="U699" i="3"/>
  <c r="V699" i="3"/>
  <c r="W699" i="3"/>
  <c r="U700" i="3"/>
  <c r="V700" i="3"/>
  <c r="W700" i="3"/>
  <c r="U701" i="3"/>
  <c r="V701" i="3"/>
  <c r="W701" i="3"/>
  <c r="U702" i="3"/>
  <c r="V702" i="3"/>
  <c r="W702" i="3"/>
  <c r="U703" i="3"/>
  <c r="V703" i="3"/>
  <c r="W703" i="3"/>
  <c r="U704" i="3"/>
  <c r="V704" i="3"/>
  <c r="W704" i="3"/>
  <c r="U705" i="3"/>
  <c r="V705" i="3"/>
  <c r="U706" i="3"/>
  <c r="V706" i="3"/>
  <c r="W706" i="3"/>
  <c r="U707" i="3"/>
  <c r="V707" i="3"/>
  <c r="W707" i="3"/>
  <c r="U708" i="3"/>
  <c r="V708" i="3"/>
  <c r="W708" i="3"/>
  <c r="U968" i="3"/>
  <c r="V968" i="3"/>
  <c r="W968" i="3"/>
  <c r="U969" i="3"/>
  <c r="V969" i="3"/>
  <c r="W969" i="3"/>
  <c r="U970" i="3"/>
  <c r="V970" i="3"/>
  <c r="W970" i="3"/>
  <c r="U971" i="3"/>
  <c r="V971" i="3"/>
  <c r="W971" i="3"/>
  <c r="U972" i="3"/>
  <c r="V972" i="3"/>
  <c r="W972" i="3"/>
  <c r="U973" i="3"/>
  <c r="V973" i="3"/>
  <c r="W973" i="3"/>
  <c r="U974" i="3"/>
  <c r="V974" i="3"/>
  <c r="W974" i="3"/>
  <c r="U975" i="3"/>
  <c r="V975" i="3"/>
  <c r="W975" i="3"/>
  <c r="U976" i="3"/>
  <c r="V976" i="3"/>
  <c r="W976" i="3"/>
  <c r="U977" i="3"/>
  <c r="V977" i="3"/>
  <c r="W977" i="3"/>
  <c r="U978" i="3"/>
  <c r="V978" i="3"/>
  <c r="W978" i="3"/>
  <c r="U979" i="3"/>
  <c r="V979" i="3"/>
  <c r="W979" i="3"/>
  <c r="U608" i="3"/>
  <c r="V608" i="3"/>
  <c r="W608" i="3"/>
  <c r="U609" i="3"/>
  <c r="V609" i="3"/>
  <c r="W609" i="3"/>
  <c r="U610" i="3"/>
  <c r="V610" i="3"/>
  <c r="W610" i="3"/>
  <c r="U611" i="3"/>
  <c r="V611" i="3"/>
  <c r="W611" i="3"/>
  <c r="U612" i="3"/>
  <c r="V612" i="3"/>
  <c r="W612" i="3"/>
  <c r="U613" i="3"/>
  <c r="V613" i="3"/>
  <c r="W613" i="3"/>
  <c r="U614" i="3"/>
  <c r="V614" i="3"/>
  <c r="W614" i="3"/>
  <c r="U615" i="3"/>
  <c r="V615" i="3"/>
  <c r="W615" i="3"/>
  <c r="U616" i="3"/>
  <c r="V616" i="3"/>
  <c r="W616" i="3"/>
  <c r="U617" i="3"/>
  <c r="V617" i="3"/>
  <c r="W617" i="3"/>
  <c r="U618" i="3"/>
  <c r="V618" i="3"/>
  <c r="W618" i="3"/>
  <c r="U619" i="3"/>
  <c r="V619" i="3"/>
  <c r="W619" i="3"/>
  <c r="U518" i="3"/>
  <c r="V518" i="3"/>
  <c r="W518" i="3"/>
  <c r="U519" i="3"/>
  <c r="V519" i="3"/>
  <c r="W519" i="3"/>
  <c r="U520" i="3"/>
  <c r="V520" i="3"/>
  <c r="W520" i="3"/>
  <c r="U521" i="3"/>
  <c r="V521" i="3"/>
  <c r="W521" i="3"/>
  <c r="U522" i="3"/>
  <c r="V522" i="3"/>
  <c r="W522" i="3"/>
  <c r="U523" i="3"/>
  <c r="V523" i="3"/>
  <c r="W523" i="3"/>
  <c r="U524" i="3"/>
  <c r="V524" i="3"/>
  <c r="W524" i="3"/>
  <c r="U525" i="3"/>
  <c r="V525" i="3"/>
  <c r="W525" i="3"/>
  <c r="U526" i="3"/>
  <c r="V526" i="3"/>
  <c r="W526" i="3"/>
  <c r="U527" i="3"/>
  <c r="V527" i="3"/>
  <c r="W527" i="3"/>
  <c r="U528" i="3"/>
  <c r="V528" i="3"/>
  <c r="W528" i="3"/>
  <c r="U878" i="3"/>
  <c r="V878" i="3"/>
  <c r="W878" i="3"/>
  <c r="U879" i="3"/>
  <c r="V879" i="3"/>
  <c r="W879" i="3"/>
  <c r="U880" i="3"/>
  <c r="V880" i="3"/>
  <c r="W880" i="3"/>
  <c r="U881" i="3"/>
  <c r="V881" i="3"/>
  <c r="W881" i="3"/>
  <c r="U882" i="3"/>
  <c r="V882" i="3"/>
  <c r="W882" i="3"/>
  <c r="U883" i="3"/>
  <c r="V883" i="3"/>
  <c r="W883" i="3"/>
  <c r="U884" i="3"/>
  <c r="V884" i="3"/>
  <c r="W884" i="3"/>
  <c r="U885" i="3"/>
  <c r="V885" i="3"/>
  <c r="W885" i="3"/>
  <c r="U886" i="3"/>
  <c r="V886" i="3"/>
  <c r="W886" i="3"/>
  <c r="U887" i="3"/>
  <c r="V887" i="3"/>
  <c r="W887" i="3"/>
  <c r="U888" i="3"/>
  <c r="V888" i="3"/>
  <c r="W888" i="3"/>
  <c r="U428" i="3"/>
  <c r="V428" i="3"/>
  <c r="W428" i="3"/>
  <c r="U429" i="3"/>
  <c r="V429" i="3"/>
  <c r="W429" i="3"/>
  <c r="U430" i="3"/>
  <c r="V430" i="3"/>
  <c r="W430" i="3"/>
  <c r="U431" i="3"/>
  <c r="V431" i="3"/>
  <c r="W431" i="3"/>
  <c r="U432" i="3"/>
  <c r="V432" i="3"/>
  <c r="W432" i="3"/>
  <c r="U433" i="3"/>
  <c r="V433" i="3"/>
  <c r="W433" i="3"/>
  <c r="U434" i="3"/>
  <c r="V434" i="3"/>
  <c r="W434" i="3"/>
  <c r="U435" i="3"/>
  <c r="V435" i="3"/>
  <c r="W435" i="3"/>
  <c r="U436" i="3"/>
  <c r="V436" i="3"/>
  <c r="W436" i="3"/>
  <c r="U437" i="3"/>
  <c r="V437" i="3"/>
  <c r="W437" i="3"/>
  <c r="U438" i="3"/>
  <c r="V438" i="3"/>
  <c r="W438" i="3"/>
  <c r="U338" i="3"/>
  <c r="V338" i="3"/>
  <c r="W338" i="3"/>
  <c r="U339" i="3"/>
  <c r="V339" i="3"/>
  <c r="W339" i="3"/>
  <c r="U340" i="3"/>
  <c r="V340" i="3"/>
  <c r="W340" i="3"/>
  <c r="U341" i="3"/>
  <c r="V341" i="3"/>
  <c r="W341" i="3"/>
  <c r="U342" i="3"/>
  <c r="V342" i="3"/>
  <c r="W342" i="3"/>
  <c r="U343" i="3"/>
  <c r="V343" i="3"/>
  <c r="W343" i="3"/>
  <c r="U344" i="3"/>
  <c r="V344" i="3"/>
  <c r="W344" i="3"/>
  <c r="U345" i="3"/>
  <c r="V345" i="3"/>
  <c r="W345" i="3"/>
  <c r="U346" i="3"/>
  <c r="V346" i="3"/>
  <c r="W346" i="3"/>
  <c r="U347" i="3"/>
  <c r="V347" i="3"/>
  <c r="W347" i="3"/>
  <c r="U348" i="3"/>
  <c r="V348" i="3"/>
  <c r="W348" i="3"/>
  <c r="U248" i="3"/>
  <c r="V248" i="3"/>
  <c r="W248" i="3"/>
  <c r="V249" i="3"/>
  <c r="W249" i="3"/>
  <c r="U250" i="3"/>
  <c r="V250" i="3"/>
  <c r="W250" i="3"/>
  <c r="U251" i="3"/>
  <c r="V251" i="3"/>
  <c r="W251" i="3"/>
  <c r="V252" i="3"/>
  <c r="W252" i="3"/>
  <c r="U253" i="3"/>
  <c r="V253" i="3"/>
  <c r="W253" i="3"/>
  <c r="V254" i="3"/>
  <c r="W254" i="3"/>
  <c r="U255" i="3"/>
  <c r="V255" i="3"/>
  <c r="W255" i="3"/>
  <c r="U256" i="3"/>
  <c r="V256" i="3"/>
  <c r="W256" i="3"/>
  <c r="U257" i="3"/>
  <c r="V257" i="3"/>
  <c r="W257" i="3"/>
  <c r="V258" i="3"/>
  <c r="W258" i="3"/>
  <c r="U1058" i="3"/>
  <c r="V1058" i="3"/>
  <c r="W1058" i="3"/>
  <c r="U1059" i="3"/>
  <c r="V1059" i="3"/>
  <c r="W1059" i="3"/>
  <c r="U1060" i="3"/>
  <c r="V1060" i="3"/>
  <c r="W1060" i="3"/>
  <c r="U1061" i="3"/>
  <c r="V1061" i="3"/>
  <c r="W1061" i="3"/>
  <c r="U1062" i="3"/>
  <c r="V1062" i="3"/>
  <c r="W1062" i="3"/>
  <c r="U1063" i="3"/>
  <c r="V1063" i="3"/>
  <c r="W1063" i="3"/>
  <c r="U1064" i="3"/>
  <c r="V1064" i="3"/>
  <c r="W1064" i="3"/>
  <c r="U1065" i="3"/>
  <c r="V1065" i="3"/>
  <c r="W1065" i="3"/>
  <c r="U1066" i="3"/>
  <c r="V1066" i="3"/>
  <c r="W1066" i="3"/>
  <c r="U1067" i="3"/>
  <c r="V1067" i="3"/>
  <c r="W1067" i="3"/>
  <c r="U1068" i="3"/>
  <c r="V1068" i="3"/>
  <c r="W1068" i="3"/>
  <c r="A1058" i="3"/>
  <c r="A1059" i="3"/>
  <c r="A1060" i="3"/>
  <c r="A1061" i="3"/>
  <c r="A1062" i="3"/>
  <c r="A1063" i="3"/>
  <c r="A1064" i="3"/>
  <c r="A1065" i="3"/>
  <c r="A1066" i="3"/>
  <c r="A1067" i="3"/>
  <c r="A1068" i="3"/>
  <c r="A1053" i="3"/>
  <c r="A1052" i="3"/>
  <c r="A1051" i="3"/>
  <c r="A1050" i="3"/>
  <c r="A1049" i="3"/>
  <c r="A1048" i="3"/>
  <c r="A1047" i="3"/>
  <c r="A1046" i="3"/>
  <c r="A1045" i="3"/>
  <c r="A1044" i="3"/>
  <c r="W1053" i="3"/>
  <c r="V1053" i="3"/>
  <c r="U1053" i="3"/>
  <c r="W1052" i="3"/>
  <c r="V1052" i="3"/>
  <c r="U1052" i="3"/>
  <c r="W1051" i="3"/>
  <c r="V1051" i="3"/>
  <c r="U1051" i="3"/>
  <c r="W1050" i="3"/>
  <c r="V1050" i="3"/>
  <c r="U1050" i="3"/>
  <c r="W1049" i="3"/>
  <c r="V1049" i="3"/>
  <c r="U1049" i="3"/>
  <c r="W1048" i="3"/>
  <c r="V1048" i="3"/>
  <c r="U1048" i="3"/>
  <c r="W1047" i="3"/>
  <c r="V1047" i="3"/>
  <c r="U1047" i="3"/>
  <c r="W1046" i="3"/>
  <c r="V1046" i="3"/>
  <c r="U1046" i="3"/>
  <c r="W1045" i="3"/>
  <c r="V1045" i="3"/>
  <c r="U1045" i="3"/>
  <c r="W243" i="3"/>
  <c r="V243" i="3"/>
  <c r="U243" i="3"/>
  <c r="W242" i="3"/>
  <c r="V242" i="3"/>
  <c r="U242" i="3"/>
  <c r="W241" i="3"/>
  <c r="V241" i="3"/>
  <c r="U241" i="3"/>
  <c r="W240" i="3"/>
  <c r="V240" i="3"/>
  <c r="U240" i="3"/>
  <c r="W239" i="3"/>
  <c r="V239" i="3"/>
  <c r="U239" i="3"/>
  <c r="W238" i="3"/>
  <c r="V238" i="3"/>
  <c r="U238" i="3"/>
  <c r="W237" i="3"/>
  <c r="V237" i="3"/>
  <c r="U237" i="3"/>
  <c r="W236" i="3"/>
  <c r="V236" i="3"/>
  <c r="U236" i="3"/>
  <c r="W235" i="3"/>
  <c r="V235" i="3"/>
  <c r="U235" i="3"/>
  <c r="W333" i="3"/>
  <c r="V333" i="3"/>
  <c r="U333" i="3"/>
  <c r="W332" i="3"/>
  <c r="V332" i="3"/>
  <c r="U332" i="3"/>
  <c r="W331" i="3"/>
  <c r="V331" i="3"/>
  <c r="U331" i="3"/>
  <c r="W330" i="3"/>
  <c r="V330" i="3"/>
  <c r="U330" i="3"/>
  <c r="W329" i="3"/>
  <c r="V329" i="3"/>
  <c r="U329" i="3"/>
  <c r="W328" i="3"/>
  <c r="V328" i="3"/>
  <c r="U328" i="3"/>
  <c r="W327" i="3"/>
  <c r="V327" i="3"/>
  <c r="U327" i="3"/>
  <c r="W326" i="3"/>
  <c r="V326" i="3"/>
  <c r="U326" i="3"/>
  <c r="U325" i="3"/>
  <c r="W423" i="3"/>
  <c r="V423" i="3"/>
  <c r="U423" i="3"/>
  <c r="W422" i="3"/>
  <c r="V422" i="3"/>
  <c r="U422" i="3"/>
  <c r="W421" i="3"/>
  <c r="V421" i="3"/>
  <c r="U421" i="3"/>
  <c r="W420" i="3"/>
  <c r="V420" i="3"/>
  <c r="U420" i="3"/>
  <c r="W419" i="3"/>
  <c r="V419" i="3"/>
  <c r="U419" i="3"/>
  <c r="W418" i="3"/>
  <c r="V418" i="3"/>
  <c r="U418" i="3"/>
  <c r="W417" i="3"/>
  <c r="V417" i="3"/>
  <c r="U417" i="3"/>
  <c r="W416" i="3"/>
  <c r="V416" i="3"/>
  <c r="U416" i="3"/>
  <c r="U415" i="3"/>
  <c r="W873" i="3"/>
  <c r="V873" i="3"/>
  <c r="U873" i="3"/>
  <c r="W872" i="3"/>
  <c r="V872" i="3"/>
  <c r="U872" i="3"/>
  <c r="W871" i="3"/>
  <c r="V871" i="3"/>
  <c r="U871" i="3"/>
  <c r="W870" i="3"/>
  <c r="V870" i="3"/>
  <c r="U870" i="3"/>
  <c r="W869" i="3"/>
  <c r="V869" i="3"/>
  <c r="U869" i="3"/>
  <c r="W868" i="3"/>
  <c r="V868" i="3"/>
  <c r="U868" i="3"/>
  <c r="W867" i="3"/>
  <c r="V867" i="3"/>
  <c r="U867" i="3"/>
  <c r="W866" i="3"/>
  <c r="V866" i="3"/>
  <c r="U866" i="3"/>
  <c r="U865" i="3"/>
  <c r="W513" i="3"/>
  <c r="V513" i="3"/>
  <c r="U513" i="3"/>
  <c r="W512" i="3"/>
  <c r="V512" i="3"/>
  <c r="U512" i="3"/>
  <c r="W511" i="3"/>
  <c r="V511" i="3"/>
  <c r="U511" i="3"/>
  <c r="W510" i="3"/>
  <c r="V510" i="3"/>
  <c r="U510" i="3"/>
  <c r="W509" i="3"/>
  <c r="V509" i="3"/>
  <c r="U509" i="3"/>
  <c r="W508" i="3"/>
  <c r="V508" i="3"/>
  <c r="U508" i="3"/>
  <c r="W507" i="3"/>
  <c r="V507" i="3"/>
  <c r="U507" i="3"/>
  <c r="W506" i="3"/>
  <c r="V506" i="3"/>
  <c r="U506" i="3"/>
  <c r="U505" i="3"/>
  <c r="W603" i="3"/>
  <c r="V603" i="3"/>
  <c r="U603" i="3"/>
  <c r="W602" i="3"/>
  <c r="V602" i="3"/>
  <c r="U602" i="3"/>
  <c r="W601" i="3"/>
  <c r="V601" i="3"/>
  <c r="U601" i="3"/>
  <c r="W600" i="3"/>
  <c r="V600" i="3"/>
  <c r="U600" i="3"/>
  <c r="W599" i="3"/>
  <c r="V599" i="3"/>
  <c r="U599" i="3"/>
  <c r="W598" i="3"/>
  <c r="V598" i="3"/>
  <c r="U598" i="3"/>
  <c r="W597" i="3"/>
  <c r="V597" i="3"/>
  <c r="U597" i="3"/>
  <c r="W596" i="3"/>
  <c r="V596" i="3"/>
  <c r="U596" i="3"/>
  <c r="U595" i="3"/>
  <c r="W963" i="3"/>
  <c r="V963" i="3"/>
  <c r="U963" i="3"/>
  <c r="W962" i="3"/>
  <c r="V962" i="3"/>
  <c r="U962" i="3"/>
  <c r="W961" i="3"/>
  <c r="V961" i="3"/>
  <c r="U961" i="3"/>
  <c r="W960" i="3"/>
  <c r="V960" i="3"/>
  <c r="U960" i="3"/>
  <c r="W959" i="3"/>
  <c r="V959" i="3"/>
  <c r="U959" i="3"/>
  <c r="W958" i="3"/>
  <c r="V958" i="3"/>
  <c r="U958" i="3"/>
  <c r="W957" i="3"/>
  <c r="V957" i="3"/>
  <c r="U957" i="3"/>
  <c r="W956" i="3"/>
  <c r="V956" i="3"/>
  <c r="U956" i="3"/>
  <c r="U955" i="3"/>
  <c r="W693" i="3"/>
  <c r="V693" i="3"/>
  <c r="U693" i="3"/>
  <c r="W692" i="3"/>
  <c r="V692" i="3"/>
  <c r="U692" i="3"/>
  <c r="W691" i="3"/>
  <c r="V691" i="3"/>
  <c r="U691" i="3"/>
  <c r="W690" i="3"/>
  <c r="V690" i="3"/>
  <c r="U690" i="3"/>
  <c r="W689" i="3"/>
  <c r="V689" i="3"/>
  <c r="U689" i="3"/>
  <c r="U688" i="3"/>
  <c r="W687" i="3"/>
  <c r="V687" i="3"/>
  <c r="U687" i="3"/>
  <c r="W686" i="3"/>
  <c r="V686" i="3"/>
  <c r="U686" i="3"/>
  <c r="W685" i="3"/>
  <c r="V685" i="3"/>
  <c r="W783" i="3"/>
  <c r="V783" i="3"/>
  <c r="U783" i="3"/>
  <c r="W782" i="3"/>
  <c r="V782" i="3"/>
  <c r="U782" i="3"/>
  <c r="W781" i="3"/>
  <c r="V781" i="3"/>
  <c r="U781" i="3"/>
  <c r="W780" i="3"/>
  <c r="V780" i="3"/>
  <c r="U780" i="3"/>
  <c r="W779" i="3"/>
  <c r="V779" i="3"/>
  <c r="U779" i="3"/>
  <c r="W778" i="3"/>
  <c r="V778" i="3"/>
  <c r="U778" i="3"/>
  <c r="W777" i="3"/>
  <c r="V777" i="3"/>
  <c r="U777" i="3"/>
  <c r="W776" i="3"/>
  <c r="V776" i="3"/>
  <c r="U776" i="3"/>
  <c r="W775" i="3"/>
  <c r="V775" i="3"/>
  <c r="U775" i="3"/>
  <c r="W774" i="3"/>
  <c r="V774" i="3"/>
  <c r="W768" i="3"/>
  <c r="V768" i="3"/>
  <c r="U768" i="3"/>
  <c r="W678" i="3"/>
  <c r="V678" i="3"/>
  <c r="U678" i="3"/>
  <c r="W948" i="3"/>
  <c r="V948" i="3"/>
  <c r="U948" i="3"/>
  <c r="W588" i="3"/>
  <c r="V588" i="3"/>
  <c r="U588" i="3"/>
  <c r="W498" i="3"/>
  <c r="V498" i="3"/>
  <c r="U498" i="3"/>
  <c r="W858" i="3"/>
  <c r="V858" i="3"/>
  <c r="U858" i="3"/>
  <c r="W408" i="3"/>
  <c r="V408" i="3"/>
  <c r="U408" i="3"/>
  <c r="W318" i="3"/>
  <c r="V318" i="3"/>
  <c r="U318" i="3"/>
  <c r="W228" i="3"/>
  <c r="V228" i="3"/>
  <c r="U228" i="3"/>
  <c r="A1039" i="3"/>
  <c r="U1039" i="3"/>
  <c r="V1039" i="3"/>
  <c r="W1039" i="3"/>
  <c r="A1040" i="3"/>
  <c r="U1040" i="3"/>
  <c r="V1040" i="3"/>
  <c r="W1040" i="3"/>
  <c r="A1041" i="3"/>
  <c r="U1041" i="3"/>
  <c r="V1041" i="3"/>
  <c r="W1041" i="3"/>
  <c r="A1042" i="3"/>
  <c r="U1042" i="3"/>
  <c r="V1042" i="3"/>
  <c r="W1042" i="3"/>
  <c r="A1038" i="3"/>
  <c r="U1038" i="3"/>
  <c r="V1038" i="3"/>
  <c r="W1038" i="3"/>
  <c r="W787" i="3"/>
  <c r="V787" i="3"/>
  <c r="U787" i="3"/>
  <c r="W786" i="3"/>
  <c r="V786" i="3"/>
  <c r="U786" i="3"/>
  <c r="W785" i="3"/>
  <c r="V785" i="3"/>
  <c r="U785" i="3"/>
  <c r="W772" i="3"/>
  <c r="V772" i="3"/>
  <c r="U772" i="3"/>
  <c r="W771" i="3"/>
  <c r="V771" i="3"/>
  <c r="U771" i="3"/>
  <c r="W770" i="3"/>
  <c r="V770" i="3"/>
  <c r="U770" i="3"/>
  <c r="W769" i="3"/>
  <c r="V769" i="3"/>
  <c r="U769" i="3"/>
  <c r="W767" i="3"/>
  <c r="V767" i="3"/>
  <c r="U767" i="3"/>
  <c r="W765" i="3"/>
  <c r="V765" i="3"/>
  <c r="U765" i="3"/>
  <c r="W764" i="3"/>
  <c r="V764" i="3"/>
  <c r="U764" i="3"/>
  <c r="W763" i="3"/>
  <c r="V763" i="3"/>
  <c r="U763" i="3"/>
  <c r="W762" i="3"/>
  <c r="V762" i="3"/>
  <c r="U762" i="3"/>
  <c r="W761" i="3"/>
  <c r="V761" i="3"/>
  <c r="U761" i="3"/>
  <c r="W766" i="3"/>
  <c r="V766" i="3"/>
  <c r="U766" i="3"/>
  <c r="W760" i="3"/>
  <c r="V760" i="3"/>
  <c r="U760" i="3"/>
  <c r="W759" i="3"/>
  <c r="V759" i="3"/>
  <c r="U759" i="3"/>
  <c r="W758" i="3"/>
  <c r="V758" i="3"/>
  <c r="U758" i="3"/>
  <c r="W750" i="3"/>
  <c r="V750" i="3"/>
  <c r="U750" i="3"/>
  <c r="W748" i="3"/>
  <c r="V748" i="3"/>
  <c r="U748" i="3"/>
  <c r="W742" i="3"/>
  <c r="V742" i="3"/>
  <c r="U742" i="3"/>
  <c r="W741" i="3"/>
  <c r="V741" i="3"/>
  <c r="U741" i="3"/>
  <c r="W737" i="3"/>
  <c r="V737" i="3"/>
  <c r="U737" i="3"/>
  <c r="W736" i="3"/>
  <c r="V736" i="3"/>
  <c r="U736" i="3"/>
  <c r="W735" i="3"/>
  <c r="V735" i="3"/>
  <c r="U735" i="3"/>
  <c r="W734" i="3"/>
  <c r="V734" i="3"/>
  <c r="U734" i="3"/>
  <c r="W733" i="3"/>
  <c r="V733" i="3"/>
  <c r="U733" i="3"/>
  <c r="W732" i="3"/>
  <c r="V732" i="3"/>
  <c r="U732" i="3"/>
  <c r="W731" i="3"/>
  <c r="V731" i="3"/>
  <c r="U731" i="3"/>
  <c r="W730" i="3"/>
  <c r="V730" i="3"/>
  <c r="U730" i="3"/>
  <c r="W729" i="3"/>
  <c r="V729" i="3"/>
  <c r="U729" i="3"/>
  <c r="W728" i="3"/>
  <c r="V728" i="3"/>
  <c r="U728" i="3"/>
  <c r="W727" i="3"/>
  <c r="V727" i="3"/>
  <c r="U727" i="3"/>
  <c r="W726" i="3"/>
  <c r="V726" i="3"/>
  <c r="U726" i="3"/>
  <c r="W724" i="3"/>
  <c r="V724" i="3"/>
  <c r="U724" i="3"/>
  <c r="W723" i="3"/>
  <c r="V723" i="3"/>
  <c r="U723" i="3"/>
  <c r="W721" i="3"/>
  <c r="V721" i="3"/>
  <c r="U721" i="3"/>
  <c r="W720" i="3"/>
  <c r="V720" i="3"/>
  <c r="U720" i="3"/>
  <c r="W719" i="3"/>
  <c r="V719" i="3"/>
  <c r="U719" i="3"/>
  <c r="W718" i="3"/>
  <c r="V718" i="3"/>
  <c r="U718" i="3"/>
  <c r="W716" i="3"/>
  <c r="V716" i="3"/>
  <c r="U716" i="3"/>
  <c r="W715" i="3"/>
  <c r="V715" i="3"/>
  <c r="U715" i="3"/>
  <c r="W714" i="3"/>
  <c r="V714" i="3"/>
  <c r="U714" i="3"/>
  <c r="W713" i="3"/>
  <c r="V713" i="3"/>
  <c r="U713" i="3"/>
  <c r="W712" i="3"/>
  <c r="V712" i="3"/>
  <c r="U712" i="3"/>
  <c r="W709" i="3"/>
  <c r="V709" i="3"/>
  <c r="U709" i="3"/>
  <c r="W697" i="3"/>
  <c r="V697" i="3"/>
  <c r="U697" i="3"/>
  <c r="W696" i="3"/>
  <c r="V696" i="3"/>
  <c r="U696" i="3"/>
  <c r="W695" i="3"/>
  <c r="V695" i="3"/>
  <c r="U695" i="3"/>
  <c r="W682" i="3"/>
  <c r="V682" i="3"/>
  <c r="U682" i="3"/>
  <c r="W681" i="3"/>
  <c r="V681" i="3"/>
  <c r="U681" i="3"/>
  <c r="W680" i="3"/>
  <c r="V680" i="3"/>
  <c r="U680" i="3"/>
  <c r="W679" i="3"/>
  <c r="V679" i="3"/>
  <c r="U679" i="3"/>
  <c r="W677" i="3"/>
  <c r="V677" i="3"/>
  <c r="U677" i="3"/>
  <c r="W675" i="3"/>
  <c r="V675" i="3"/>
  <c r="U675" i="3"/>
  <c r="W674" i="3"/>
  <c r="V674" i="3"/>
  <c r="U674" i="3"/>
  <c r="W673" i="3"/>
  <c r="V673" i="3"/>
  <c r="U673" i="3"/>
  <c r="W672" i="3"/>
  <c r="V672" i="3"/>
  <c r="U672" i="3"/>
  <c r="W671" i="3"/>
  <c r="V671" i="3"/>
  <c r="U671" i="3"/>
  <c r="W676" i="3"/>
  <c r="V676" i="3"/>
  <c r="U676" i="3"/>
  <c r="W670" i="3"/>
  <c r="V670" i="3"/>
  <c r="U670" i="3"/>
  <c r="W669" i="3"/>
  <c r="V669" i="3"/>
  <c r="U669" i="3"/>
  <c r="W668" i="3"/>
  <c r="V668" i="3"/>
  <c r="U668" i="3"/>
  <c r="W660" i="3"/>
  <c r="V660" i="3"/>
  <c r="U660" i="3"/>
  <c r="W658" i="3"/>
  <c r="V658" i="3"/>
  <c r="U658" i="3"/>
  <c r="W652" i="3"/>
  <c r="V652" i="3"/>
  <c r="U652" i="3"/>
  <c r="W651" i="3"/>
  <c r="V651" i="3"/>
  <c r="U651" i="3"/>
  <c r="W647" i="3"/>
  <c r="V647" i="3"/>
  <c r="U647" i="3"/>
  <c r="W646" i="3"/>
  <c r="V646" i="3"/>
  <c r="U646" i="3"/>
  <c r="W645" i="3"/>
  <c r="V645" i="3"/>
  <c r="U645" i="3"/>
  <c r="W644" i="3"/>
  <c r="V644" i="3"/>
  <c r="U644" i="3"/>
  <c r="W643" i="3"/>
  <c r="V643" i="3"/>
  <c r="U643" i="3"/>
  <c r="W642" i="3"/>
  <c r="V642" i="3"/>
  <c r="U642" i="3"/>
  <c r="W641" i="3"/>
  <c r="V641" i="3"/>
  <c r="U641" i="3"/>
  <c r="W640" i="3"/>
  <c r="V640" i="3"/>
  <c r="U640" i="3"/>
  <c r="W639" i="3"/>
  <c r="V639" i="3"/>
  <c r="U639" i="3"/>
  <c r="W638" i="3"/>
  <c r="V638" i="3"/>
  <c r="U638" i="3"/>
  <c r="W637" i="3"/>
  <c r="V637" i="3"/>
  <c r="U637" i="3"/>
  <c r="W636" i="3"/>
  <c r="V636" i="3"/>
  <c r="U636" i="3"/>
  <c r="W634" i="3"/>
  <c r="V634" i="3"/>
  <c r="U634" i="3"/>
  <c r="W633" i="3"/>
  <c r="V633" i="3"/>
  <c r="U633" i="3"/>
  <c r="W631" i="3"/>
  <c r="V631" i="3"/>
  <c r="U631" i="3"/>
  <c r="W630" i="3"/>
  <c r="V630" i="3"/>
  <c r="U630" i="3"/>
  <c r="W629" i="3"/>
  <c r="V629" i="3"/>
  <c r="U629" i="3"/>
  <c r="W628" i="3"/>
  <c r="V628" i="3"/>
  <c r="U628" i="3"/>
  <c r="W626" i="3"/>
  <c r="V626" i="3"/>
  <c r="U626" i="3"/>
  <c r="W625" i="3"/>
  <c r="V625" i="3"/>
  <c r="U625" i="3"/>
  <c r="W624" i="3"/>
  <c r="V624" i="3"/>
  <c r="U624" i="3"/>
  <c r="W623" i="3"/>
  <c r="V623" i="3"/>
  <c r="U623" i="3"/>
  <c r="W622" i="3"/>
  <c r="V622" i="3"/>
  <c r="U622" i="3"/>
  <c r="W967" i="3"/>
  <c r="V967" i="3"/>
  <c r="U967" i="3"/>
  <c r="W966" i="3"/>
  <c r="V966" i="3"/>
  <c r="U966" i="3"/>
  <c r="W965" i="3"/>
  <c r="V965" i="3"/>
  <c r="U965" i="3"/>
  <c r="W952" i="3"/>
  <c r="V952" i="3"/>
  <c r="U952" i="3"/>
  <c r="W951" i="3"/>
  <c r="V951" i="3"/>
  <c r="U951" i="3"/>
  <c r="W950" i="3"/>
  <c r="V950" i="3"/>
  <c r="U950" i="3"/>
  <c r="W949" i="3"/>
  <c r="V949" i="3"/>
  <c r="U949" i="3"/>
  <c r="W947" i="3"/>
  <c r="V947" i="3"/>
  <c r="U947" i="3"/>
  <c r="W945" i="3"/>
  <c r="V945" i="3"/>
  <c r="U945" i="3"/>
  <c r="W944" i="3"/>
  <c r="V944" i="3"/>
  <c r="U944" i="3"/>
  <c r="W943" i="3"/>
  <c r="V943" i="3"/>
  <c r="U943" i="3"/>
  <c r="W942" i="3"/>
  <c r="V942" i="3"/>
  <c r="U942" i="3"/>
  <c r="W941" i="3"/>
  <c r="V941" i="3"/>
  <c r="U941" i="3"/>
  <c r="W946" i="3"/>
  <c r="V946" i="3"/>
  <c r="U946" i="3"/>
  <c r="W940" i="3"/>
  <c r="V940" i="3"/>
  <c r="U940" i="3"/>
  <c r="W939" i="3"/>
  <c r="V939" i="3"/>
  <c r="U939" i="3"/>
  <c r="W938" i="3"/>
  <c r="V938" i="3"/>
  <c r="U938" i="3"/>
  <c r="W930" i="3"/>
  <c r="V930" i="3"/>
  <c r="U930" i="3"/>
  <c r="W928" i="3"/>
  <c r="V928" i="3"/>
  <c r="U928" i="3"/>
  <c r="W922" i="3"/>
  <c r="V922" i="3"/>
  <c r="U922" i="3"/>
  <c r="W921" i="3"/>
  <c r="V921" i="3"/>
  <c r="U921" i="3"/>
  <c r="W917" i="3"/>
  <c r="V917" i="3"/>
  <c r="U917" i="3"/>
  <c r="W916" i="3"/>
  <c r="V916" i="3"/>
  <c r="U916" i="3"/>
  <c r="W915" i="3"/>
  <c r="V915" i="3"/>
  <c r="U915" i="3"/>
  <c r="W914" i="3"/>
  <c r="V914" i="3"/>
  <c r="U914" i="3"/>
  <c r="W913" i="3"/>
  <c r="V913" i="3"/>
  <c r="U913" i="3"/>
  <c r="W912" i="3"/>
  <c r="V912" i="3"/>
  <c r="U912" i="3"/>
  <c r="W911" i="3"/>
  <c r="V911" i="3"/>
  <c r="U911" i="3"/>
  <c r="W910" i="3"/>
  <c r="V910" i="3"/>
  <c r="U910" i="3"/>
  <c r="W909" i="3"/>
  <c r="V909" i="3"/>
  <c r="U909" i="3"/>
  <c r="W908" i="3"/>
  <c r="V908" i="3"/>
  <c r="U908" i="3"/>
  <c r="W907" i="3"/>
  <c r="V907" i="3"/>
  <c r="U907" i="3"/>
  <c r="W906" i="3"/>
  <c r="V906" i="3"/>
  <c r="U906" i="3"/>
  <c r="W904" i="3"/>
  <c r="V904" i="3"/>
  <c r="U904" i="3"/>
  <c r="W903" i="3"/>
  <c r="V903" i="3"/>
  <c r="U903" i="3"/>
  <c r="W901" i="3"/>
  <c r="V901" i="3"/>
  <c r="U901" i="3"/>
  <c r="W900" i="3"/>
  <c r="V900" i="3"/>
  <c r="U900" i="3"/>
  <c r="W899" i="3"/>
  <c r="V899" i="3"/>
  <c r="U899" i="3"/>
  <c r="W898" i="3"/>
  <c r="V898" i="3"/>
  <c r="U898" i="3"/>
  <c r="W896" i="3"/>
  <c r="V896" i="3"/>
  <c r="U896" i="3"/>
  <c r="W895" i="3"/>
  <c r="V895" i="3"/>
  <c r="U895" i="3"/>
  <c r="W894" i="3"/>
  <c r="V894" i="3"/>
  <c r="U894" i="3"/>
  <c r="W893" i="3"/>
  <c r="V893" i="3"/>
  <c r="U893" i="3"/>
  <c r="W892" i="3"/>
  <c r="V892" i="3"/>
  <c r="U892" i="3"/>
  <c r="W607" i="3"/>
  <c r="V607" i="3"/>
  <c r="U607" i="3"/>
  <c r="W606" i="3"/>
  <c r="V606" i="3"/>
  <c r="U606" i="3"/>
  <c r="W605" i="3"/>
  <c r="V605" i="3"/>
  <c r="U605" i="3"/>
  <c r="W592" i="3"/>
  <c r="V592" i="3"/>
  <c r="U592" i="3"/>
  <c r="W591" i="3"/>
  <c r="V591" i="3"/>
  <c r="U591" i="3"/>
  <c r="W590" i="3"/>
  <c r="V590" i="3"/>
  <c r="U590" i="3"/>
  <c r="W589" i="3"/>
  <c r="V589" i="3"/>
  <c r="U589" i="3"/>
  <c r="W587" i="3"/>
  <c r="V587" i="3"/>
  <c r="U587" i="3"/>
  <c r="W585" i="3"/>
  <c r="V585" i="3"/>
  <c r="U585" i="3"/>
  <c r="W584" i="3"/>
  <c r="V584" i="3"/>
  <c r="U584" i="3"/>
  <c r="W583" i="3"/>
  <c r="V583" i="3"/>
  <c r="U583" i="3"/>
  <c r="W582" i="3"/>
  <c r="V582" i="3"/>
  <c r="U582" i="3"/>
  <c r="W581" i="3"/>
  <c r="V581" i="3"/>
  <c r="U581" i="3"/>
  <c r="W586" i="3"/>
  <c r="V586" i="3"/>
  <c r="U586" i="3"/>
  <c r="W580" i="3"/>
  <c r="V580" i="3"/>
  <c r="U580" i="3"/>
  <c r="W579" i="3"/>
  <c r="V579" i="3"/>
  <c r="U579" i="3"/>
  <c r="W578" i="3"/>
  <c r="V578" i="3"/>
  <c r="U578" i="3"/>
  <c r="W570" i="3"/>
  <c r="V570" i="3"/>
  <c r="U570" i="3"/>
  <c r="W568" i="3"/>
  <c r="V568" i="3"/>
  <c r="U568" i="3"/>
  <c r="W562" i="3"/>
  <c r="V562" i="3"/>
  <c r="U562" i="3"/>
  <c r="W561" i="3"/>
  <c r="V561" i="3"/>
  <c r="U561" i="3"/>
  <c r="W557" i="3"/>
  <c r="V557" i="3"/>
  <c r="U557" i="3"/>
  <c r="W556" i="3"/>
  <c r="V556" i="3"/>
  <c r="U556" i="3"/>
  <c r="W555" i="3"/>
  <c r="V555" i="3"/>
  <c r="U555" i="3"/>
  <c r="W554" i="3"/>
  <c r="V554" i="3"/>
  <c r="U554" i="3"/>
  <c r="W553" i="3"/>
  <c r="V553" i="3"/>
  <c r="U553" i="3"/>
  <c r="W552" i="3"/>
  <c r="V552" i="3"/>
  <c r="U552" i="3"/>
  <c r="W551" i="3"/>
  <c r="V551" i="3"/>
  <c r="U551" i="3"/>
  <c r="W550" i="3"/>
  <c r="V550" i="3"/>
  <c r="U550" i="3"/>
  <c r="W549" i="3"/>
  <c r="V549" i="3"/>
  <c r="U549" i="3"/>
  <c r="W548" i="3"/>
  <c r="V548" i="3"/>
  <c r="U548" i="3"/>
  <c r="W547" i="3"/>
  <c r="V547" i="3"/>
  <c r="U547" i="3"/>
  <c r="W546" i="3"/>
  <c r="V546" i="3"/>
  <c r="U546" i="3"/>
  <c r="W544" i="3"/>
  <c r="V544" i="3"/>
  <c r="U544" i="3"/>
  <c r="W543" i="3"/>
  <c r="V543" i="3"/>
  <c r="U543" i="3"/>
  <c r="W541" i="3"/>
  <c r="V541" i="3"/>
  <c r="U541" i="3"/>
  <c r="W540" i="3"/>
  <c r="V540" i="3"/>
  <c r="U540" i="3"/>
  <c r="W539" i="3"/>
  <c r="V539" i="3"/>
  <c r="U539" i="3"/>
  <c r="W538" i="3"/>
  <c r="V538" i="3"/>
  <c r="U538" i="3"/>
  <c r="W536" i="3"/>
  <c r="V536" i="3"/>
  <c r="U536" i="3"/>
  <c r="W535" i="3"/>
  <c r="V535" i="3"/>
  <c r="U535" i="3"/>
  <c r="W534" i="3"/>
  <c r="V534" i="3"/>
  <c r="U534" i="3"/>
  <c r="W533" i="3"/>
  <c r="V533" i="3"/>
  <c r="U533" i="3"/>
  <c r="W532" i="3"/>
  <c r="V532" i="3"/>
  <c r="U532" i="3"/>
  <c r="W529" i="3"/>
  <c r="V529" i="3"/>
  <c r="U529" i="3"/>
  <c r="W517" i="3"/>
  <c r="V517" i="3"/>
  <c r="U517" i="3"/>
  <c r="W516" i="3"/>
  <c r="V516" i="3"/>
  <c r="U516" i="3"/>
  <c r="W515" i="3"/>
  <c r="V515" i="3"/>
  <c r="U515" i="3"/>
  <c r="W502" i="3"/>
  <c r="V502" i="3"/>
  <c r="U502" i="3"/>
  <c r="W501" i="3"/>
  <c r="V501" i="3"/>
  <c r="U501" i="3"/>
  <c r="W500" i="3"/>
  <c r="V500" i="3"/>
  <c r="U500" i="3"/>
  <c r="W499" i="3"/>
  <c r="V499" i="3"/>
  <c r="U499" i="3"/>
  <c r="W497" i="3"/>
  <c r="V497" i="3"/>
  <c r="U497" i="3"/>
  <c r="W495" i="3"/>
  <c r="V495" i="3"/>
  <c r="W494" i="3"/>
  <c r="V494" i="3"/>
  <c r="W493" i="3"/>
  <c r="V493" i="3"/>
  <c r="W492" i="3"/>
  <c r="V492" i="3"/>
  <c r="W491" i="3"/>
  <c r="V491" i="3"/>
  <c r="W496" i="3"/>
  <c r="V496" i="3"/>
  <c r="U496" i="3"/>
  <c r="W490" i="3"/>
  <c r="V490" i="3"/>
  <c r="U490" i="3"/>
  <c r="W489" i="3"/>
  <c r="V489" i="3"/>
  <c r="U489" i="3"/>
  <c r="W488" i="3"/>
  <c r="V488" i="3"/>
  <c r="U488" i="3"/>
  <c r="W480" i="3"/>
  <c r="V480" i="3"/>
  <c r="U480" i="3"/>
  <c r="W478" i="3"/>
  <c r="V478" i="3"/>
  <c r="W472" i="3"/>
  <c r="V472" i="3"/>
  <c r="W471" i="3"/>
  <c r="V471" i="3"/>
  <c r="W467" i="3"/>
  <c r="V467" i="3"/>
  <c r="W466" i="3"/>
  <c r="V466" i="3"/>
  <c r="W465" i="3"/>
  <c r="V465" i="3"/>
  <c r="W464" i="3"/>
  <c r="V464" i="3"/>
  <c r="W463" i="3"/>
  <c r="V463" i="3"/>
  <c r="W462" i="3"/>
  <c r="V462" i="3"/>
  <c r="W461" i="3"/>
  <c r="V461" i="3"/>
  <c r="W460" i="3"/>
  <c r="V460" i="3"/>
  <c r="W459" i="3"/>
  <c r="V459" i="3"/>
  <c r="W458" i="3"/>
  <c r="V458" i="3"/>
  <c r="U458" i="3"/>
  <c r="W457" i="3"/>
  <c r="V457" i="3"/>
  <c r="U457" i="3"/>
  <c r="W456" i="3"/>
  <c r="V456" i="3"/>
  <c r="U456" i="3"/>
  <c r="W454" i="3"/>
  <c r="V454" i="3"/>
  <c r="U454" i="3"/>
  <c r="W453" i="3"/>
  <c r="V453" i="3"/>
  <c r="U453" i="3"/>
  <c r="W451" i="3"/>
  <c r="V451" i="3"/>
  <c r="W450" i="3"/>
  <c r="V450" i="3"/>
  <c r="U450" i="3"/>
  <c r="W449" i="3"/>
  <c r="V449" i="3"/>
  <c r="U449" i="3"/>
  <c r="W448" i="3"/>
  <c r="V448" i="3"/>
  <c r="U448" i="3"/>
  <c r="W446" i="3"/>
  <c r="V446" i="3"/>
  <c r="U446" i="3"/>
  <c r="W445" i="3"/>
  <c r="V445" i="3"/>
  <c r="U445" i="3"/>
  <c r="W444" i="3"/>
  <c r="V444" i="3"/>
  <c r="U444" i="3"/>
  <c r="W443" i="3"/>
  <c r="V443" i="3"/>
  <c r="U443" i="3"/>
  <c r="W442" i="3"/>
  <c r="V442" i="3"/>
  <c r="U442" i="3"/>
  <c r="W889" i="3"/>
  <c r="V889" i="3"/>
  <c r="U889" i="3"/>
  <c r="W877" i="3"/>
  <c r="V877" i="3"/>
  <c r="U877" i="3"/>
  <c r="W876" i="3"/>
  <c r="V876" i="3"/>
  <c r="U876" i="3"/>
  <c r="W875" i="3"/>
  <c r="V875" i="3"/>
  <c r="U875" i="3"/>
  <c r="W862" i="3"/>
  <c r="V862" i="3"/>
  <c r="U862" i="3"/>
  <c r="W861" i="3"/>
  <c r="V861" i="3"/>
  <c r="U861" i="3"/>
  <c r="W860" i="3"/>
  <c r="V860" i="3"/>
  <c r="U860" i="3"/>
  <c r="W859" i="3"/>
  <c r="V859" i="3"/>
  <c r="U859" i="3"/>
  <c r="W857" i="3"/>
  <c r="V857" i="3"/>
  <c r="U857" i="3"/>
  <c r="W855" i="3"/>
  <c r="V855" i="3"/>
  <c r="U855" i="3"/>
  <c r="W854" i="3"/>
  <c r="V854" i="3"/>
  <c r="U854" i="3"/>
  <c r="W853" i="3"/>
  <c r="V853" i="3"/>
  <c r="U853" i="3"/>
  <c r="W852" i="3"/>
  <c r="V852" i="3"/>
  <c r="U852" i="3"/>
  <c r="W851" i="3"/>
  <c r="V851" i="3"/>
  <c r="U851" i="3"/>
  <c r="W856" i="3"/>
  <c r="V856" i="3"/>
  <c r="U856" i="3"/>
  <c r="W850" i="3"/>
  <c r="V850" i="3"/>
  <c r="U850" i="3"/>
  <c r="W849" i="3"/>
  <c r="V849" i="3"/>
  <c r="U849" i="3"/>
  <c r="W848" i="3"/>
  <c r="V848" i="3"/>
  <c r="U848" i="3"/>
  <c r="W840" i="3"/>
  <c r="V840" i="3"/>
  <c r="U840" i="3"/>
  <c r="W838" i="3"/>
  <c r="V838" i="3"/>
  <c r="U838" i="3"/>
  <c r="W832" i="3"/>
  <c r="V832" i="3"/>
  <c r="U832" i="3"/>
  <c r="W831" i="3"/>
  <c r="V831" i="3"/>
  <c r="U831" i="3"/>
  <c r="W827" i="3"/>
  <c r="V827" i="3"/>
  <c r="U827" i="3"/>
  <c r="W826" i="3"/>
  <c r="V826" i="3"/>
  <c r="U826" i="3"/>
  <c r="W825" i="3"/>
  <c r="V825" i="3"/>
  <c r="U825" i="3"/>
  <c r="W824" i="3"/>
  <c r="V824" i="3"/>
  <c r="U824" i="3"/>
  <c r="W823" i="3"/>
  <c r="V823" i="3"/>
  <c r="U823" i="3"/>
  <c r="W822" i="3"/>
  <c r="V822" i="3"/>
  <c r="U822" i="3"/>
  <c r="W821" i="3"/>
  <c r="V821" i="3"/>
  <c r="U821" i="3"/>
  <c r="W820" i="3"/>
  <c r="V820" i="3"/>
  <c r="U820" i="3"/>
  <c r="W819" i="3"/>
  <c r="V819" i="3"/>
  <c r="U819" i="3"/>
  <c r="W818" i="3"/>
  <c r="V818" i="3"/>
  <c r="U818" i="3"/>
  <c r="W817" i="3"/>
  <c r="V817" i="3"/>
  <c r="U817" i="3"/>
  <c r="W816" i="3"/>
  <c r="V816" i="3"/>
  <c r="U816" i="3"/>
  <c r="W814" i="3"/>
  <c r="V814" i="3"/>
  <c r="U814" i="3"/>
  <c r="W813" i="3"/>
  <c r="V813" i="3"/>
  <c r="U813" i="3"/>
  <c r="W811" i="3"/>
  <c r="V811" i="3"/>
  <c r="U811" i="3"/>
  <c r="W810" i="3"/>
  <c r="V810" i="3"/>
  <c r="U810" i="3"/>
  <c r="W809" i="3"/>
  <c r="V809" i="3"/>
  <c r="U809" i="3"/>
  <c r="W808" i="3"/>
  <c r="V808" i="3"/>
  <c r="U808" i="3"/>
  <c r="W806" i="3"/>
  <c r="V806" i="3"/>
  <c r="U806" i="3"/>
  <c r="W805" i="3"/>
  <c r="V805" i="3"/>
  <c r="U805" i="3"/>
  <c r="W804" i="3"/>
  <c r="V804" i="3"/>
  <c r="U804" i="3"/>
  <c r="W803" i="3"/>
  <c r="V803" i="3"/>
  <c r="U803" i="3"/>
  <c r="W802" i="3"/>
  <c r="V802" i="3"/>
  <c r="U802" i="3"/>
  <c r="W439" i="3"/>
  <c r="V439" i="3"/>
  <c r="U439" i="3"/>
  <c r="W427" i="3"/>
  <c r="V427" i="3"/>
  <c r="U427" i="3"/>
  <c r="W426" i="3"/>
  <c r="V426" i="3"/>
  <c r="U426" i="3"/>
  <c r="W425" i="3"/>
  <c r="V425" i="3"/>
  <c r="U425" i="3"/>
  <c r="W412" i="3"/>
  <c r="V412" i="3"/>
  <c r="U412" i="3"/>
  <c r="W411" i="3"/>
  <c r="V411" i="3"/>
  <c r="U411" i="3"/>
  <c r="W410" i="3"/>
  <c r="V410" i="3"/>
  <c r="U410" i="3"/>
  <c r="W409" i="3"/>
  <c r="V409" i="3"/>
  <c r="U409" i="3"/>
  <c r="W407" i="3"/>
  <c r="V407" i="3"/>
  <c r="U407" i="3"/>
  <c r="W405" i="3"/>
  <c r="V405" i="3"/>
  <c r="U405" i="3"/>
  <c r="W404" i="3"/>
  <c r="V404" i="3"/>
  <c r="U404" i="3"/>
  <c r="W403" i="3"/>
  <c r="V403" i="3"/>
  <c r="U403" i="3"/>
  <c r="W402" i="3"/>
  <c r="V402" i="3"/>
  <c r="U402" i="3"/>
  <c r="W401" i="3"/>
  <c r="V401" i="3"/>
  <c r="U401" i="3"/>
  <c r="W406" i="3"/>
  <c r="V406" i="3"/>
  <c r="U406" i="3"/>
  <c r="W400" i="3"/>
  <c r="V400" i="3"/>
  <c r="U400" i="3"/>
  <c r="W399" i="3"/>
  <c r="V399" i="3"/>
  <c r="U399" i="3"/>
  <c r="W398" i="3"/>
  <c r="V398" i="3"/>
  <c r="U398" i="3"/>
  <c r="W390" i="3"/>
  <c r="V390" i="3"/>
  <c r="U390" i="3"/>
  <c r="W388" i="3"/>
  <c r="V388" i="3"/>
  <c r="U388" i="3"/>
  <c r="W382" i="3"/>
  <c r="V382" i="3"/>
  <c r="U382" i="3"/>
  <c r="W381" i="3"/>
  <c r="V381" i="3"/>
  <c r="U381" i="3"/>
  <c r="W377" i="3"/>
  <c r="V377" i="3"/>
  <c r="U377" i="3"/>
  <c r="W376" i="3"/>
  <c r="V376" i="3"/>
  <c r="U376" i="3"/>
  <c r="W375" i="3"/>
  <c r="V375" i="3"/>
  <c r="U375" i="3"/>
  <c r="W374" i="3"/>
  <c r="V374" i="3"/>
  <c r="U374" i="3"/>
  <c r="W373" i="3"/>
  <c r="V373" i="3"/>
  <c r="U373" i="3"/>
  <c r="W372" i="3"/>
  <c r="V372" i="3"/>
  <c r="U372" i="3"/>
  <c r="W371" i="3"/>
  <c r="V371" i="3"/>
  <c r="U371" i="3"/>
  <c r="W370" i="3"/>
  <c r="V370" i="3"/>
  <c r="U370" i="3"/>
  <c r="W369" i="3"/>
  <c r="V369" i="3"/>
  <c r="U369" i="3"/>
  <c r="W368" i="3"/>
  <c r="V368" i="3"/>
  <c r="U368" i="3"/>
  <c r="W367" i="3"/>
  <c r="V367" i="3"/>
  <c r="U367" i="3"/>
  <c r="W366" i="3"/>
  <c r="V366" i="3"/>
  <c r="U366" i="3"/>
  <c r="W364" i="3"/>
  <c r="V364" i="3"/>
  <c r="U364" i="3"/>
  <c r="W363" i="3"/>
  <c r="V363" i="3"/>
  <c r="U363" i="3"/>
  <c r="W361" i="3"/>
  <c r="V361" i="3"/>
  <c r="U361" i="3"/>
  <c r="W360" i="3"/>
  <c r="V360" i="3"/>
  <c r="U360" i="3"/>
  <c r="W359" i="3"/>
  <c r="V359" i="3"/>
  <c r="U359" i="3"/>
  <c r="W358" i="3"/>
  <c r="V358" i="3"/>
  <c r="U358" i="3"/>
  <c r="W356" i="3"/>
  <c r="V356" i="3"/>
  <c r="U356" i="3"/>
  <c r="W355" i="3"/>
  <c r="V355" i="3"/>
  <c r="U355" i="3"/>
  <c r="W354" i="3"/>
  <c r="V354" i="3"/>
  <c r="U354" i="3"/>
  <c r="W353" i="3"/>
  <c r="V353" i="3"/>
  <c r="U353" i="3"/>
  <c r="W352" i="3"/>
  <c r="V352" i="3"/>
  <c r="U352" i="3"/>
  <c r="W349" i="3"/>
  <c r="V349" i="3"/>
  <c r="U349" i="3"/>
  <c r="W337" i="3"/>
  <c r="V337" i="3"/>
  <c r="U337" i="3"/>
  <c r="W336" i="3"/>
  <c r="V336" i="3"/>
  <c r="U336" i="3"/>
  <c r="W335" i="3"/>
  <c r="V335" i="3"/>
  <c r="U335" i="3"/>
  <c r="W322" i="3"/>
  <c r="V322" i="3"/>
  <c r="U322" i="3"/>
  <c r="W321" i="3"/>
  <c r="V321" i="3"/>
  <c r="U321" i="3"/>
  <c r="W320" i="3"/>
  <c r="V320" i="3"/>
  <c r="U320" i="3"/>
  <c r="W319" i="3"/>
  <c r="V319" i="3"/>
  <c r="U319" i="3"/>
  <c r="W317" i="3"/>
  <c r="V317" i="3"/>
  <c r="U317" i="3"/>
  <c r="W315" i="3"/>
  <c r="V315" i="3"/>
  <c r="U315" i="3"/>
  <c r="W314" i="3"/>
  <c r="V314" i="3"/>
  <c r="U314" i="3"/>
  <c r="W313" i="3"/>
  <c r="V313" i="3"/>
  <c r="U313" i="3"/>
  <c r="W312" i="3"/>
  <c r="V312" i="3"/>
  <c r="U312" i="3"/>
  <c r="W311" i="3"/>
  <c r="V311" i="3"/>
  <c r="U311" i="3"/>
  <c r="W316" i="3"/>
  <c r="V316" i="3"/>
  <c r="U316" i="3"/>
  <c r="W310" i="3"/>
  <c r="V310" i="3"/>
  <c r="U310" i="3"/>
  <c r="W309" i="3"/>
  <c r="V309" i="3"/>
  <c r="U309" i="3"/>
  <c r="W308" i="3"/>
  <c r="V308" i="3"/>
  <c r="U308" i="3"/>
  <c r="W300" i="3"/>
  <c r="V300" i="3"/>
  <c r="U300" i="3"/>
  <c r="W298" i="3"/>
  <c r="V298" i="3"/>
  <c r="U298" i="3"/>
  <c r="W292" i="3"/>
  <c r="V292" i="3"/>
  <c r="U292" i="3"/>
  <c r="W291" i="3"/>
  <c r="V291" i="3"/>
  <c r="U291" i="3"/>
  <c r="W287" i="3"/>
  <c r="V287" i="3"/>
  <c r="U287" i="3"/>
  <c r="W286" i="3"/>
  <c r="V286" i="3"/>
  <c r="U286" i="3"/>
  <c r="W285" i="3"/>
  <c r="V285" i="3"/>
  <c r="U285" i="3"/>
  <c r="W284" i="3"/>
  <c r="V284" i="3"/>
  <c r="U284" i="3"/>
  <c r="W283" i="3"/>
  <c r="V283" i="3"/>
  <c r="U283" i="3"/>
  <c r="W282" i="3"/>
  <c r="V282" i="3"/>
  <c r="U282" i="3"/>
  <c r="W281" i="3"/>
  <c r="V281" i="3"/>
  <c r="U281" i="3"/>
  <c r="W280" i="3"/>
  <c r="V280" i="3"/>
  <c r="U280" i="3"/>
  <c r="W279" i="3"/>
  <c r="V279" i="3"/>
  <c r="U279" i="3"/>
  <c r="W278" i="3"/>
  <c r="V278" i="3"/>
  <c r="U278" i="3"/>
  <c r="W277" i="3"/>
  <c r="V277" i="3"/>
  <c r="U277" i="3"/>
  <c r="W276" i="3"/>
  <c r="V276" i="3"/>
  <c r="U276" i="3"/>
  <c r="W274" i="3"/>
  <c r="V274" i="3"/>
  <c r="U274" i="3"/>
  <c r="W273" i="3"/>
  <c r="V273" i="3"/>
  <c r="U273" i="3"/>
  <c r="W271" i="3"/>
  <c r="V271" i="3"/>
  <c r="U271" i="3"/>
  <c r="W270" i="3"/>
  <c r="V270" i="3"/>
  <c r="U270" i="3"/>
  <c r="W269" i="3"/>
  <c r="V269" i="3"/>
  <c r="U269" i="3"/>
  <c r="W268" i="3"/>
  <c r="V268" i="3"/>
  <c r="U268" i="3"/>
  <c r="W266" i="3"/>
  <c r="V266" i="3"/>
  <c r="U266" i="3"/>
  <c r="W265" i="3"/>
  <c r="V265" i="3"/>
  <c r="U265" i="3"/>
  <c r="W264" i="3"/>
  <c r="V264" i="3"/>
  <c r="U264" i="3"/>
  <c r="W263" i="3"/>
  <c r="V263" i="3"/>
  <c r="U263" i="3"/>
  <c r="W262" i="3"/>
  <c r="V262" i="3"/>
  <c r="U262" i="3"/>
  <c r="W259" i="3"/>
  <c r="V259" i="3"/>
  <c r="U259" i="3"/>
  <c r="W247" i="3"/>
  <c r="V247" i="3"/>
  <c r="W246" i="3"/>
  <c r="V246" i="3"/>
  <c r="U246" i="3"/>
  <c r="W245" i="3"/>
  <c r="V245" i="3"/>
  <c r="U245" i="3"/>
  <c r="W232" i="3"/>
  <c r="V232" i="3"/>
  <c r="U232" i="3"/>
  <c r="W231" i="3"/>
  <c r="V231" i="3"/>
  <c r="U231" i="3"/>
  <c r="W230" i="3"/>
  <c r="V230" i="3"/>
  <c r="W229" i="3"/>
  <c r="V229" i="3"/>
  <c r="W227" i="3"/>
  <c r="V227" i="3"/>
  <c r="U227" i="3"/>
  <c r="W225" i="3"/>
  <c r="V225" i="3"/>
  <c r="U225" i="3"/>
  <c r="W224" i="3"/>
  <c r="V224" i="3"/>
  <c r="U224" i="3"/>
  <c r="W223" i="3"/>
  <c r="V223" i="3"/>
  <c r="U223" i="3"/>
  <c r="W222" i="3"/>
  <c r="V222" i="3"/>
  <c r="U222" i="3"/>
  <c r="W221" i="3"/>
  <c r="V221" i="3"/>
  <c r="U221" i="3"/>
  <c r="W226" i="3"/>
  <c r="V226" i="3"/>
  <c r="U226" i="3"/>
  <c r="W220" i="3"/>
  <c r="V220" i="3"/>
  <c r="U220" i="3"/>
  <c r="W219" i="3"/>
  <c r="V219" i="3"/>
  <c r="U219" i="3"/>
  <c r="W218" i="3"/>
  <c r="V218" i="3"/>
  <c r="U218" i="3"/>
  <c r="W210" i="3"/>
  <c r="V210" i="3"/>
  <c r="U210" i="3"/>
  <c r="W202" i="3"/>
  <c r="V202" i="3"/>
  <c r="U202" i="3"/>
  <c r="W201" i="3"/>
  <c r="V201" i="3"/>
  <c r="U201" i="3"/>
  <c r="W197" i="3"/>
  <c r="V197" i="3"/>
  <c r="U197" i="3"/>
  <c r="W196" i="3"/>
  <c r="V196" i="3"/>
  <c r="U196" i="3"/>
  <c r="W195" i="3"/>
  <c r="V195" i="3"/>
  <c r="U195" i="3"/>
  <c r="W194" i="3"/>
  <c r="V194" i="3"/>
  <c r="U194" i="3"/>
  <c r="W193" i="3"/>
  <c r="V193" i="3"/>
  <c r="U193" i="3"/>
  <c r="W192" i="3"/>
  <c r="V192" i="3"/>
  <c r="U192" i="3"/>
  <c r="W191" i="3"/>
  <c r="V191" i="3"/>
  <c r="U191" i="3"/>
  <c r="W190" i="3"/>
  <c r="V190" i="3"/>
  <c r="U190" i="3"/>
  <c r="W189" i="3"/>
  <c r="V189" i="3"/>
  <c r="U189" i="3"/>
  <c r="W188" i="3"/>
  <c r="V188" i="3"/>
  <c r="U188" i="3"/>
  <c r="W187" i="3"/>
  <c r="V187" i="3"/>
  <c r="U187" i="3"/>
  <c r="W186" i="3"/>
  <c r="V186" i="3"/>
  <c r="U186" i="3"/>
  <c r="W184" i="3"/>
  <c r="V184" i="3"/>
  <c r="U184" i="3"/>
  <c r="W183" i="3"/>
  <c r="V183" i="3"/>
  <c r="U183" i="3"/>
  <c r="W181" i="3"/>
  <c r="V181" i="3"/>
  <c r="U181" i="3"/>
  <c r="W180" i="3"/>
  <c r="V180" i="3"/>
  <c r="U180" i="3"/>
  <c r="W179" i="3"/>
  <c r="V179" i="3"/>
  <c r="U179" i="3"/>
  <c r="W178" i="3"/>
  <c r="V178" i="3"/>
  <c r="U178" i="3"/>
  <c r="W176" i="3"/>
  <c r="V176" i="3"/>
  <c r="U176" i="3"/>
  <c r="W175" i="3"/>
  <c r="V175" i="3"/>
  <c r="U175" i="3"/>
  <c r="W174" i="3"/>
  <c r="V174" i="3"/>
  <c r="U174" i="3"/>
  <c r="W173" i="3"/>
  <c r="V173" i="3"/>
  <c r="U173" i="3"/>
  <c r="W172" i="3"/>
  <c r="V172" i="3"/>
  <c r="U172" i="3"/>
  <c r="W1069" i="3"/>
  <c r="V1069" i="3"/>
  <c r="W1057" i="3"/>
  <c r="V1057" i="3"/>
  <c r="W1056" i="3"/>
  <c r="V1056" i="3"/>
  <c r="W1055" i="3"/>
  <c r="V1055" i="3"/>
  <c r="W1037" i="3"/>
  <c r="V1037" i="3"/>
  <c r="W1035" i="3"/>
  <c r="V1035" i="3"/>
  <c r="W1034" i="3"/>
  <c r="V1034" i="3"/>
  <c r="W1033" i="3"/>
  <c r="V1033" i="3"/>
  <c r="W1032" i="3"/>
  <c r="V1032" i="3"/>
  <c r="W1031" i="3"/>
  <c r="V1031" i="3"/>
  <c r="W1036" i="3"/>
  <c r="V1036" i="3"/>
  <c r="W1030" i="3"/>
  <c r="V1030" i="3"/>
  <c r="W1029" i="3"/>
  <c r="V1029" i="3"/>
  <c r="W1028" i="3"/>
  <c r="V1028" i="3"/>
  <c r="W1020" i="3"/>
  <c r="V1020" i="3"/>
  <c r="W1018" i="3"/>
  <c r="V1018" i="3"/>
  <c r="W1012" i="3"/>
  <c r="V1012" i="3"/>
  <c r="W1011" i="3"/>
  <c r="V1011" i="3"/>
  <c r="W1007" i="3"/>
  <c r="V1007" i="3"/>
  <c r="W1006" i="3"/>
  <c r="V1006" i="3"/>
  <c r="W1005" i="3"/>
  <c r="V1005" i="3"/>
  <c r="W1004" i="3"/>
  <c r="V1004" i="3"/>
  <c r="W1003" i="3"/>
  <c r="V1003" i="3"/>
  <c r="W1002" i="3"/>
  <c r="V1002" i="3"/>
  <c r="W1001" i="3"/>
  <c r="V1001" i="3"/>
  <c r="W1000" i="3"/>
  <c r="V1000" i="3"/>
  <c r="W999" i="3"/>
  <c r="V999" i="3"/>
  <c r="W998" i="3"/>
  <c r="V998" i="3"/>
  <c r="W997" i="3"/>
  <c r="V997" i="3"/>
  <c r="W996" i="3"/>
  <c r="V996" i="3"/>
  <c r="W994" i="3"/>
  <c r="V994" i="3"/>
  <c r="W993" i="3"/>
  <c r="V993" i="3"/>
  <c r="W991" i="3"/>
  <c r="V991" i="3"/>
  <c r="W990" i="3"/>
  <c r="V990" i="3"/>
  <c r="W989" i="3"/>
  <c r="V989" i="3"/>
  <c r="W988" i="3"/>
  <c r="V988" i="3"/>
  <c r="W986" i="3"/>
  <c r="V986" i="3"/>
  <c r="W985" i="3"/>
  <c r="V985" i="3"/>
  <c r="W984" i="3"/>
  <c r="V984" i="3"/>
  <c r="W983" i="3"/>
  <c r="V983" i="3"/>
  <c r="W982" i="3"/>
  <c r="V982" i="3"/>
  <c r="U1069" i="3"/>
  <c r="U1057" i="3"/>
  <c r="U1056" i="3"/>
  <c r="U1055" i="3"/>
  <c r="U1037" i="3"/>
  <c r="U1035" i="3"/>
  <c r="U1034" i="3"/>
  <c r="U1033" i="3"/>
  <c r="U1032" i="3"/>
  <c r="U1031" i="3"/>
  <c r="U1036" i="3"/>
  <c r="U1030" i="3"/>
  <c r="U1029" i="3"/>
  <c r="U1028" i="3"/>
  <c r="U1020" i="3"/>
  <c r="U1018" i="3"/>
  <c r="U1012" i="3"/>
  <c r="U1011" i="3"/>
  <c r="U1007" i="3"/>
  <c r="U1006" i="3"/>
  <c r="U1005" i="3"/>
  <c r="U1004" i="3"/>
  <c r="U1003" i="3"/>
  <c r="U1002" i="3"/>
  <c r="U1001" i="3"/>
  <c r="U1000" i="3"/>
  <c r="U999" i="3"/>
  <c r="U998" i="3"/>
  <c r="U997" i="3"/>
  <c r="U996" i="3"/>
  <c r="U994" i="3"/>
  <c r="U993" i="3"/>
  <c r="U991" i="3"/>
  <c r="U990" i="3"/>
  <c r="U989" i="3"/>
  <c r="U988" i="3"/>
  <c r="U986" i="3"/>
  <c r="U985" i="3"/>
  <c r="U984" i="3"/>
  <c r="U983" i="3"/>
  <c r="U982" i="3"/>
  <c r="W79" i="3"/>
  <c r="V79" i="3"/>
  <c r="W78" i="3"/>
  <c r="V78" i="3"/>
  <c r="W77" i="3"/>
  <c r="V77" i="3"/>
  <c r="W76" i="3"/>
  <c r="V76" i="3"/>
  <c r="W75" i="3"/>
  <c r="V75" i="3"/>
  <c r="W74" i="3"/>
  <c r="V74" i="3"/>
  <c r="W73" i="3"/>
  <c r="V73" i="3"/>
  <c r="W72" i="3"/>
  <c r="V72" i="3"/>
  <c r="W71" i="3"/>
  <c r="V71" i="3"/>
  <c r="W70" i="3"/>
  <c r="V70" i="3"/>
  <c r="W68" i="3"/>
  <c r="V68" i="3"/>
  <c r="W67" i="3"/>
  <c r="V67" i="3"/>
  <c r="W66" i="3"/>
  <c r="V66" i="3"/>
  <c r="W65" i="3"/>
  <c r="V65" i="3"/>
  <c r="W64" i="3"/>
  <c r="V64" i="3"/>
  <c r="W63" i="3"/>
  <c r="V63" i="3"/>
  <c r="W62" i="3"/>
  <c r="V62" i="3"/>
  <c r="W61" i="3"/>
  <c r="V61" i="3"/>
  <c r="W60" i="3"/>
  <c r="V60" i="3"/>
  <c r="W59" i="3"/>
  <c r="V59" i="3"/>
  <c r="W57" i="3"/>
  <c r="V57" i="3"/>
  <c r="W56" i="3"/>
  <c r="V56" i="3"/>
  <c r="W55" i="3"/>
  <c r="V55" i="3"/>
  <c r="W54" i="3"/>
  <c r="V54" i="3"/>
  <c r="W52" i="3"/>
  <c r="V52" i="3"/>
  <c r="W50" i="3"/>
  <c r="V50" i="3"/>
  <c r="W49" i="3"/>
  <c r="V49" i="3"/>
  <c r="W48" i="3"/>
  <c r="V48" i="3"/>
  <c r="W24" i="3"/>
  <c r="V24" i="3"/>
  <c r="W23" i="3"/>
  <c r="V23" i="3"/>
  <c r="W22" i="3"/>
  <c r="V22" i="3"/>
  <c r="W21" i="3"/>
  <c r="V21" i="3"/>
  <c r="W20" i="3"/>
  <c r="V20" i="3"/>
  <c r="W19" i="3"/>
  <c r="V19" i="3"/>
  <c r="W17" i="3"/>
  <c r="V17" i="3"/>
  <c r="W16" i="3"/>
  <c r="V16" i="3"/>
  <c r="W15" i="3"/>
  <c r="V15" i="3"/>
  <c r="U79" i="3"/>
  <c r="U78" i="3"/>
  <c r="U77" i="3"/>
  <c r="U76" i="3"/>
  <c r="U75" i="3"/>
  <c r="U74" i="3"/>
  <c r="U73" i="3"/>
  <c r="U72" i="3"/>
  <c r="U71" i="3"/>
  <c r="U70" i="3"/>
  <c r="U68" i="3"/>
  <c r="U67" i="3"/>
  <c r="U66" i="3"/>
  <c r="U65" i="3"/>
  <c r="U64" i="3"/>
  <c r="U63" i="3"/>
  <c r="U62" i="3"/>
  <c r="U61" i="3"/>
  <c r="U60" i="3"/>
  <c r="U59" i="3"/>
  <c r="U57" i="3"/>
  <c r="U56" i="3"/>
  <c r="U55" i="3"/>
  <c r="C25" i="8"/>
  <c r="U52" i="3"/>
  <c r="U50" i="3"/>
  <c r="U49" i="3"/>
  <c r="U24" i="3"/>
  <c r="U22" i="3"/>
  <c r="U21" i="3"/>
  <c r="U20" i="3"/>
  <c r="U19" i="3"/>
  <c r="U18" i="3"/>
  <c r="U17" i="3"/>
  <c r="U16" i="3"/>
  <c r="U15" i="3"/>
  <c r="A1069" i="3"/>
  <c r="A1057" i="3"/>
  <c r="A1056" i="3"/>
  <c r="A1055" i="3"/>
  <c r="A1054" i="3"/>
  <c r="A1037" i="3"/>
  <c r="A1035" i="3"/>
  <c r="A1034" i="3"/>
  <c r="A1033" i="3"/>
  <c r="A1032" i="3"/>
  <c r="A1031" i="3"/>
  <c r="A1036" i="3"/>
  <c r="A1030" i="3"/>
  <c r="A1029" i="3"/>
  <c r="A1020" i="3"/>
  <c r="A1019" i="3"/>
  <c r="A1018" i="3"/>
  <c r="A1012" i="3"/>
  <c r="A1011" i="3"/>
  <c r="A1007" i="3"/>
  <c r="A1006" i="3"/>
  <c r="A1005" i="3"/>
  <c r="A1004" i="3"/>
  <c r="A1003" i="3"/>
  <c r="A1002" i="3"/>
  <c r="A1001" i="3"/>
  <c r="A1000" i="3"/>
  <c r="A999" i="3"/>
  <c r="A998" i="3"/>
  <c r="A997" i="3"/>
  <c r="A996" i="3"/>
  <c r="A995" i="3"/>
  <c r="A994" i="3"/>
  <c r="A993" i="3"/>
  <c r="A991" i="3"/>
  <c r="A990" i="3"/>
  <c r="A989" i="3"/>
  <c r="A988" i="3"/>
  <c r="A987" i="3"/>
  <c r="A986" i="3"/>
  <c r="A985" i="3"/>
  <c r="A984" i="3"/>
  <c r="A983" i="3"/>
  <c r="A982" i="3"/>
  <c r="A981" i="3"/>
  <c r="U461" i="3" l="1"/>
  <c r="U464" i="3"/>
  <c r="U466" i="3"/>
  <c r="U471" i="3"/>
  <c r="U478" i="3"/>
  <c r="U491" i="3"/>
  <c r="U493" i="3"/>
  <c r="U495" i="3"/>
  <c r="U451" i="3"/>
  <c r="U460" i="3"/>
  <c r="U462" i="3"/>
  <c r="U465" i="3"/>
  <c r="U467" i="3"/>
  <c r="U492" i="3"/>
  <c r="U494" i="3"/>
  <c r="W18" i="3"/>
  <c r="V18" i="3"/>
  <c r="W531" i="3"/>
  <c r="V531" i="3"/>
  <c r="U711" i="3"/>
  <c r="W711" i="3"/>
  <c r="V711" i="3"/>
  <c r="U621" i="3"/>
  <c r="W621" i="3"/>
  <c r="V621" i="3"/>
  <c r="V891" i="3"/>
  <c r="U891" i="3"/>
  <c r="W891" i="3"/>
  <c r="U531" i="3"/>
  <c r="U441" i="3"/>
  <c r="U801" i="3"/>
  <c r="W801" i="3"/>
  <c r="V801" i="3"/>
  <c r="U351" i="3"/>
  <c r="W351" i="3"/>
  <c r="V351" i="3"/>
  <c r="U261" i="3"/>
  <c r="W261" i="3"/>
  <c r="V261" i="3"/>
  <c r="V171" i="3"/>
  <c r="U171" i="3"/>
  <c r="W171" i="3"/>
  <c r="W981" i="3"/>
  <c r="V981" i="3"/>
  <c r="U981" i="3"/>
  <c r="U685" i="3"/>
  <c r="E684" i="3"/>
  <c r="U684" i="3" s="1"/>
  <c r="V955" i="3"/>
  <c r="W955" i="3"/>
  <c r="V688" i="3"/>
  <c r="W688" i="3"/>
  <c r="U23" i="3"/>
  <c r="V441" i="3"/>
  <c r="W595" i="3"/>
  <c r="V505" i="3"/>
  <c r="W865" i="3"/>
  <c r="V415" i="3"/>
  <c r="W325" i="3"/>
  <c r="W441" i="3"/>
  <c r="V595" i="3"/>
  <c r="W505" i="3"/>
  <c r="V865" i="3"/>
  <c r="W415" i="3"/>
  <c r="V325" i="3"/>
  <c r="U51" i="3"/>
  <c r="C26" i="8"/>
  <c r="W51" i="3"/>
  <c r="E26" i="8"/>
  <c r="V51" i="3"/>
  <c r="D26" i="8"/>
  <c r="U54" i="3"/>
  <c r="N92" i="8"/>
  <c r="N93" i="8" s="1"/>
  <c r="V53" i="3"/>
  <c r="O92" i="8"/>
  <c r="O93" i="8" s="1"/>
  <c r="W53" i="3"/>
  <c r="W684" i="3"/>
  <c r="E25" i="8"/>
  <c r="W92" i="3"/>
  <c r="D25" i="8"/>
  <c r="V92" i="3"/>
  <c r="E134" i="3"/>
  <c r="U134" i="3" s="1"/>
  <c r="E40" i="8"/>
  <c r="C40" i="8"/>
  <c r="D40" i="8"/>
  <c r="D24" i="8"/>
  <c r="E24" i="8"/>
  <c r="C17" i="8"/>
  <c r="D17" i="8"/>
  <c r="E17" i="8"/>
  <c r="E128" i="3"/>
  <c r="U128" i="3" s="1"/>
  <c r="E129" i="3"/>
  <c r="U129" i="3" s="1"/>
  <c r="F129" i="3"/>
  <c r="V129" i="3" s="1"/>
  <c r="G129" i="3"/>
  <c r="W129" i="3" s="1"/>
  <c r="F162" i="3"/>
  <c r="V162" i="3" s="1"/>
  <c r="G128" i="3"/>
  <c r="W128" i="3" s="1"/>
  <c r="F128" i="3"/>
  <c r="V128" i="3" s="1"/>
  <c r="G167" i="3"/>
  <c r="W167" i="3" s="1"/>
  <c r="F166" i="3"/>
  <c r="V166" i="3" s="1"/>
  <c r="F158" i="3"/>
  <c r="V158" i="3" s="1"/>
  <c r="F164" i="3"/>
  <c r="V164" i="3" s="1"/>
  <c r="F160" i="3"/>
  <c r="V160" i="3" s="1"/>
  <c r="V784" i="3"/>
  <c r="W627" i="3"/>
  <c r="E717" i="3"/>
  <c r="U717" i="3" s="1"/>
  <c r="W717" i="3"/>
  <c r="V717" i="3"/>
  <c r="W725" i="3"/>
  <c r="G138" i="3"/>
  <c r="F234" i="3"/>
  <c r="V234" i="3" s="1"/>
  <c r="W1044" i="3"/>
  <c r="F168" i="3"/>
  <c r="V168" i="3" s="1"/>
  <c r="E167" i="3"/>
  <c r="U167" i="3" s="1"/>
  <c r="G165" i="3"/>
  <c r="W165" i="3" s="1"/>
  <c r="G163" i="3"/>
  <c r="W163" i="3" s="1"/>
  <c r="G161" i="3"/>
  <c r="W161" i="3" s="1"/>
  <c r="G159" i="3"/>
  <c r="W159" i="3" s="1"/>
  <c r="F138" i="3"/>
  <c r="E324" i="3"/>
  <c r="U324" i="3" s="1"/>
  <c r="E165" i="3"/>
  <c r="U165" i="3" s="1"/>
  <c r="E163" i="3"/>
  <c r="U163" i="3" s="1"/>
  <c r="E161" i="3"/>
  <c r="U161" i="3" s="1"/>
  <c r="U774" i="3"/>
  <c r="E954" i="3"/>
  <c r="G234" i="3"/>
  <c r="W234" i="3" s="1"/>
  <c r="V1044" i="3"/>
  <c r="E138" i="3"/>
  <c r="F132" i="1" s="1"/>
  <c r="G166" i="3"/>
  <c r="W166" i="3" s="1"/>
  <c r="F165" i="3"/>
  <c r="V165" i="3" s="1"/>
  <c r="G162" i="3"/>
  <c r="W162" i="3" s="1"/>
  <c r="F161" i="3"/>
  <c r="V161" i="3" s="1"/>
  <c r="E160" i="3"/>
  <c r="U160" i="3" s="1"/>
  <c r="G158" i="3"/>
  <c r="W158" i="3" s="1"/>
  <c r="G168" i="3"/>
  <c r="W168" i="3" s="1"/>
  <c r="F167" i="3"/>
  <c r="V167" i="3" s="1"/>
  <c r="E166" i="3"/>
  <c r="U166" i="3" s="1"/>
  <c r="G164" i="3"/>
  <c r="W164" i="3" s="1"/>
  <c r="F163" i="3"/>
  <c r="V163" i="3" s="1"/>
  <c r="G160" i="3"/>
  <c r="W160" i="3" s="1"/>
  <c r="F159" i="3"/>
  <c r="V159" i="3" s="1"/>
  <c r="E158" i="3"/>
  <c r="U158" i="3" s="1"/>
  <c r="W784" i="3"/>
  <c r="E784" i="3"/>
  <c r="U784" i="3" s="1"/>
  <c r="E414" i="3"/>
  <c r="U414" i="3" s="1"/>
  <c r="E594" i="3"/>
  <c r="U594" i="3" s="1"/>
  <c r="E864" i="3"/>
  <c r="U864" i="3" s="1"/>
  <c r="G145" i="3"/>
  <c r="W145" i="3" s="1"/>
  <c r="E147" i="3"/>
  <c r="U147" i="3" s="1"/>
  <c r="F148" i="3"/>
  <c r="V148" i="3" s="1"/>
  <c r="G149" i="3"/>
  <c r="W149" i="3" s="1"/>
  <c r="E151" i="3"/>
  <c r="U151" i="3" s="1"/>
  <c r="F152" i="3"/>
  <c r="V152" i="3" s="1"/>
  <c r="G153" i="3"/>
  <c r="W153" i="3" s="1"/>
  <c r="E504" i="3"/>
  <c r="U504" i="3" s="1"/>
  <c r="E145" i="3"/>
  <c r="F146" i="3"/>
  <c r="V146" i="3" s="1"/>
  <c r="G147" i="3"/>
  <c r="W147" i="3" s="1"/>
  <c r="E149" i="3"/>
  <c r="U149" i="3" s="1"/>
  <c r="F150" i="3"/>
  <c r="V150" i="3" s="1"/>
  <c r="G151" i="3"/>
  <c r="W151" i="3" s="1"/>
  <c r="E153" i="3"/>
  <c r="U153" i="3" s="1"/>
  <c r="E146" i="3"/>
  <c r="U146" i="3" s="1"/>
  <c r="F147" i="3"/>
  <c r="V147" i="3" s="1"/>
  <c r="G148" i="3"/>
  <c r="W148" i="3" s="1"/>
  <c r="E150" i="3"/>
  <c r="U150" i="3" s="1"/>
  <c r="F151" i="3"/>
  <c r="V151" i="3" s="1"/>
  <c r="G152" i="3"/>
  <c r="W152" i="3" s="1"/>
  <c r="E659" i="3"/>
  <c r="U659" i="3" s="1"/>
  <c r="E1044" i="3"/>
  <c r="U1044" i="3" s="1"/>
  <c r="F145" i="3"/>
  <c r="V145" i="3" s="1"/>
  <c r="G146" i="3"/>
  <c r="W146" i="3" s="1"/>
  <c r="E148" i="3"/>
  <c r="U148" i="3" s="1"/>
  <c r="F149" i="3"/>
  <c r="V149" i="3" s="1"/>
  <c r="G150" i="3"/>
  <c r="W150" i="3" s="1"/>
  <c r="E152" i="3"/>
  <c r="U152" i="3" s="1"/>
  <c r="F153" i="3"/>
  <c r="V153" i="3" s="1"/>
  <c r="W964" i="3"/>
  <c r="E627" i="3"/>
  <c r="U627" i="3" s="1"/>
  <c r="V635" i="3"/>
  <c r="E694" i="3"/>
  <c r="U694" i="3" s="1"/>
  <c r="W749" i="3"/>
  <c r="V694" i="3"/>
  <c r="W694" i="3"/>
  <c r="E749" i="3"/>
  <c r="U749" i="3" s="1"/>
  <c r="E604" i="3"/>
  <c r="U604" i="3" s="1"/>
  <c r="V627" i="3"/>
  <c r="V929" i="3"/>
  <c r="E905" i="3"/>
  <c r="U905" i="3" s="1"/>
  <c r="E929" i="3"/>
  <c r="U929" i="3" s="1"/>
  <c r="E569" i="3"/>
  <c r="U569" i="3" s="1"/>
  <c r="V569" i="3"/>
  <c r="E874" i="3"/>
  <c r="U874" i="3" s="1"/>
  <c r="V455" i="3"/>
  <c r="V897" i="3"/>
  <c r="V905" i="3"/>
  <c r="U964" i="3"/>
  <c r="V725" i="3"/>
  <c r="E725" i="3"/>
  <c r="U725" i="3" s="1"/>
  <c r="W897" i="3"/>
  <c r="V964" i="3"/>
  <c r="E635" i="3"/>
  <c r="U635" i="3" s="1"/>
  <c r="V749" i="3"/>
  <c r="V424" i="3"/>
  <c r="W424" i="3"/>
  <c r="V815" i="3"/>
  <c r="E839" i="3"/>
  <c r="U839" i="3" s="1"/>
  <c r="V839" i="3"/>
  <c r="W905" i="3"/>
  <c r="W635" i="3"/>
  <c r="V659" i="3"/>
  <c r="V807" i="3"/>
  <c r="W807" i="3"/>
  <c r="W604" i="3"/>
  <c r="W659" i="3"/>
  <c r="W447" i="3"/>
  <c r="W479" i="3"/>
  <c r="W514" i="3"/>
  <c r="E537" i="3"/>
  <c r="U537" i="3" s="1"/>
  <c r="W545" i="3"/>
  <c r="U897" i="3"/>
  <c r="E447" i="3"/>
  <c r="U447" i="3" s="1"/>
  <c r="E514" i="3"/>
  <c r="U514" i="3" s="1"/>
  <c r="W537" i="3"/>
  <c r="E545" i="3"/>
  <c r="U545" i="3" s="1"/>
  <c r="V545" i="3"/>
  <c r="V604" i="3"/>
  <c r="W929" i="3"/>
  <c r="W874" i="3"/>
  <c r="V514" i="3"/>
  <c r="V537" i="3"/>
  <c r="E424" i="3"/>
  <c r="U424" i="3" s="1"/>
  <c r="W569" i="3"/>
  <c r="V479" i="3"/>
  <c r="V357" i="3"/>
  <c r="W357" i="3"/>
  <c r="W389" i="3"/>
  <c r="E807" i="3"/>
  <c r="U807" i="3" s="1"/>
  <c r="W815" i="3"/>
  <c r="E479" i="3"/>
  <c r="U479" i="3" s="1"/>
  <c r="V874" i="3"/>
  <c r="V447" i="3"/>
  <c r="W455" i="3"/>
  <c r="E177" i="3"/>
  <c r="V334" i="3"/>
  <c r="W334" i="3"/>
  <c r="G47" i="3"/>
  <c r="W47" i="3" s="1"/>
  <c r="E815" i="3"/>
  <c r="U815" i="3" s="1"/>
  <c r="W839" i="3"/>
  <c r="G177" i="3"/>
  <c r="W177" i="3" s="1"/>
  <c r="V267" i="3"/>
  <c r="E275" i="3"/>
  <c r="U275" i="3" s="1"/>
  <c r="E357" i="3"/>
  <c r="W365" i="3"/>
  <c r="W987" i="3"/>
  <c r="W1054" i="3"/>
  <c r="W267" i="3"/>
  <c r="E365" i="3"/>
  <c r="V365" i="3"/>
  <c r="F47" i="3"/>
  <c r="V47" i="3" s="1"/>
  <c r="F58" i="3"/>
  <c r="F69" i="3"/>
  <c r="V987" i="3"/>
  <c r="V1019" i="3"/>
  <c r="V1054" i="3"/>
  <c r="F244" i="3"/>
  <c r="V244" i="3" s="1"/>
  <c r="G244" i="3"/>
  <c r="W244" i="3" s="1"/>
  <c r="E299" i="3"/>
  <c r="U299" i="3" s="1"/>
  <c r="V299" i="3"/>
  <c r="E389" i="3"/>
  <c r="U389" i="3" s="1"/>
  <c r="V389" i="3"/>
  <c r="E334" i="3"/>
  <c r="U334" i="3" s="1"/>
  <c r="W995" i="3"/>
  <c r="F185" i="3"/>
  <c r="V185" i="3" s="1"/>
  <c r="W275" i="3"/>
  <c r="E267" i="3"/>
  <c r="U267" i="3" s="1"/>
  <c r="F209" i="3"/>
  <c r="V209" i="3" s="1"/>
  <c r="V275" i="3"/>
  <c r="W299" i="3"/>
  <c r="F177" i="3"/>
  <c r="V177" i="3" s="1"/>
  <c r="G185" i="3"/>
  <c r="W185" i="3" s="1"/>
  <c r="E185" i="3"/>
  <c r="U185" i="3" s="1"/>
  <c r="G209" i="3"/>
  <c r="W209" i="3" s="1"/>
  <c r="G69" i="3"/>
  <c r="W1019" i="3"/>
  <c r="V995" i="3"/>
  <c r="G58" i="3"/>
  <c r="F14" i="3"/>
  <c r="G14" i="3"/>
  <c r="U145" i="3" l="1"/>
  <c r="E144" i="3"/>
  <c r="U954" i="3"/>
  <c r="H954" i="3"/>
  <c r="U209" i="3"/>
  <c r="H181" i="3"/>
  <c r="U365" i="3"/>
  <c r="E350" i="3"/>
  <c r="U357" i="3"/>
  <c r="V138" i="3"/>
  <c r="G132" i="1"/>
  <c r="W138" i="3"/>
  <c r="H132" i="1"/>
  <c r="W58" i="3"/>
  <c r="H243" i="1"/>
  <c r="V58" i="3"/>
  <c r="G243" i="1"/>
  <c r="W69" i="3"/>
  <c r="H244" i="1"/>
  <c r="H242" i="1" s="1"/>
  <c r="V69" i="3"/>
  <c r="G244" i="1"/>
  <c r="V710" i="3"/>
  <c r="W890" i="3"/>
  <c r="F5" i="3"/>
  <c r="G170" i="3"/>
  <c r="W170" i="3" s="1"/>
  <c r="E710" i="3"/>
  <c r="U710" i="3" s="1"/>
  <c r="E620" i="3"/>
  <c r="E530" i="3"/>
  <c r="G5" i="3"/>
  <c r="F170" i="3"/>
  <c r="V170" i="3" s="1"/>
  <c r="V620" i="3"/>
  <c r="E890" i="3"/>
  <c r="U890" i="3" s="1"/>
  <c r="V980" i="3"/>
  <c r="W710" i="3"/>
  <c r="W620" i="3"/>
  <c r="E800" i="3"/>
  <c r="U800" i="3" s="1"/>
  <c r="E260" i="3"/>
  <c r="U260" i="3" s="1"/>
  <c r="W980" i="3"/>
  <c r="U177" i="3"/>
  <c r="U234" i="3"/>
  <c r="U138" i="3"/>
  <c r="G1078" i="3"/>
  <c r="H225" i="1" s="1"/>
  <c r="H224" i="1" s="1"/>
  <c r="H221" i="1" s="1"/>
  <c r="W954" i="3"/>
  <c r="V954" i="3"/>
  <c r="V684" i="3"/>
  <c r="V14" i="3"/>
  <c r="W14" i="3"/>
  <c r="F1078" i="3"/>
  <c r="G225" i="1" s="1"/>
  <c r="G224" i="1" s="1"/>
  <c r="G221" i="1" s="1"/>
  <c r="C121" i="8"/>
  <c r="C127" i="8" s="1"/>
  <c r="C39" i="8"/>
  <c r="D121" i="8"/>
  <c r="D127" i="8" s="1"/>
  <c r="D39" i="8"/>
  <c r="E121" i="8"/>
  <c r="E127" i="8" s="1"/>
  <c r="E39" i="8"/>
  <c r="E16" i="8"/>
  <c r="S51" i="8"/>
  <c r="C16" i="8"/>
  <c r="Q51" i="8"/>
  <c r="D16" i="8"/>
  <c r="R51" i="8"/>
  <c r="K80" i="8"/>
  <c r="O80" i="8" s="1"/>
  <c r="J80" i="8"/>
  <c r="N80" i="8" s="1"/>
  <c r="G242" i="1" l="1"/>
  <c r="U350" i="3"/>
  <c r="E5" i="3"/>
  <c r="O127" i="8"/>
  <c r="N127" i="8"/>
  <c r="M127" i="8"/>
  <c r="U620" i="3"/>
  <c r="V890" i="3"/>
  <c r="U530" i="3"/>
  <c r="V530" i="3"/>
  <c r="V594" i="3"/>
  <c r="E7" i="3"/>
  <c r="G8" i="3"/>
  <c r="G2" i="3"/>
  <c r="G3" i="3"/>
  <c r="F8" i="3"/>
  <c r="F2" i="3"/>
  <c r="E4" i="3"/>
  <c r="F3" i="3"/>
  <c r="V504" i="3"/>
  <c r="F7" i="3" l="1"/>
  <c r="W594" i="3"/>
  <c r="W504" i="3"/>
  <c r="V864" i="3"/>
  <c r="W440" i="3" l="1"/>
  <c r="W864" i="3"/>
  <c r="W530" i="3"/>
  <c r="G7" i="3"/>
  <c r="F6" i="3"/>
  <c r="V440" i="3"/>
  <c r="V414" i="3"/>
  <c r="V800" i="3"/>
  <c r="G6" i="3" l="1"/>
  <c r="W800" i="3"/>
  <c r="W414" i="3"/>
  <c r="V324" i="3"/>
  <c r="V350" i="3"/>
  <c r="I42" i="9" l="1"/>
  <c r="D42" i="9" s="1"/>
  <c r="K42" i="9" s="1"/>
  <c r="I43" i="9"/>
  <c r="D43" i="9" s="1"/>
  <c r="I44" i="9"/>
  <c r="D44" i="9" s="1"/>
  <c r="I45" i="9"/>
  <c r="D45" i="9" s="1"/>
  <c r="W324" i="3"/>
  <c r="W350" i="3"/>
  <c r="V260" i="3"/>
  <c r="W260" i="3" l="1"/>
  <c r="F4" i="3"/>
  <c r="G4" i="3" l="1"/>
  <c r="E1054" i="3" l="1"/>
  <c r="U1054" i="3" s="1"/>
  <c r="E1019" i="3"/>
  <c r="U1019" i="3" s="1"/>
  <c r="E995" i="3"/>
  <c r="U995" i="3" s="1"/>
  <c r="E987" i="3"/>
  <c r="G169" i="3"/>
  <c r="W169" i="3" s="1"/>
  <c r="F169" i="3"/>
  <c r="V169" i="3" s="1"/>
  <c r="E169" i="3"/>
  <c r="U169" i="3" s="1"/>
  <c r="G157" i="3"/>
  <c r="W157" i="3" s="1"/>
  <c r="F157" i="3"/>
  <c r="G156" i="3"/>
  <c r="W156" i="3" s="1"/>
  <c r="F156" i="3"/>
  <c r="V156" i="3" s="1"/>
  <c r="E156" i="3"/>
  <c r="U156" i="3" s="1"/>
  <c r="G155" i="3"/>
  <c r="W155" i="3" s="1"/>
  <c r="F155" i="3"/>
  <c r="V155" i="3" s="1"/>
  <c r="E155" i="3"/>
  <c r="G144" i="3"/>
  <c r="W144" i="3" s="1"/>
  <c r="F144" i="3"/>
  <c r="V144" i="3" s="1"/>
  <c r="G142" i="3"/>
  <c r="H187" i="1" s="1"/>
  <c r="H186" i="1" s="1"/>
  <c r="H183" i="1" s="1"/>
  <c r="H182" i="1" s="1"/>
  <c r="F142" i="3"/>
  <c r="G187" i="1" s="1"/>
  <c r="G186" i="1" s="1"/>
  <c r="G183" i="1" s="1"/>
  <c r="G182" i="1" s="1"/>
  <c r="E142" i="3"/>
  <c r="F187" i="1" s="1"/>
  <c r="F186" i="1" s="1"/>
  <c r="F183" i="1" s="1"/>
  <c r="F182" i="1" s="1"/>
  <c r="G141" i="3"/>
  <c r="H151" i="1" s="1"/>
  <c r="H150" i="1" s="1"/>
  <c r="F141" i="3"/>
  <c r="G151" i="1" s="1"/>
  <c r="G150" i="1" s="1"/>
  <c r="E141" i="3"/>
  <c r="F151" i="1" s="1"/>
  <c r="F150" i="1" s="1"/>
  <c r="G140" i="3"/>
  <c r="F140" i="3"/>
  <c r="G139" i="3"/>
  <c r="F139" i="3"/>
  <c r="G137" i="3"/>
  <c r="F137" i="3"/>
  <c r="E137" i="3"/>
  <c r="F131" i="1" s="1"/>
  <c r="F130" i="1" s="1"/>
  <c r="G135" i="3"/>
  <c r="W135" i="3" s="1"/>
  <c r="F135" i="3"/>
  <c r="V135" i="3" s="1"/>
  <c r="E135" i="3"/>
  <c r="U135" i="3" s="1"/>
  <c r="G134" i="3"/>
  <c r="W134" i="3" s="1"/>
  <c r="F134" i="3"/>
  <c r="V134" i="3" s="1"/>
  <c r="G133" i="3"/>
  <c r="W133" i="3" s="1"/>
  <c r="F133" i="3"/>
  <c r="V133" i="3" s="1"/>
  <c r="E133" i="3"/>
  <c r="G132" i="3"/>
  <c r="W132" i="3" s="1"/>
  <c r="F132" i="3"/>
  <c r="V132" i="3" s="1"/>
  <c r="E132" i="3"/>
  <c r="U132" i="3" s="1"/>
  <c r="G131" i="3"/>
  <c r="W131" i="3" s="1"/>
  <c r="F131" i="3"/>
  <c r="V131" i="3" s="1"/>
  <c r="E131" i="3"/>
  <c r="U131" i="3" s="1"/>
  <c r="G136" i="3"/>
  <c r="W136" i="3" s="1"/>
  <c r="F136" i="3"/>
  <c r="V136" i="3" s="1"/>
  <c r="E136" i="3"/>
  <c r="U136" i="3" s="1"/>
  <c r="G130" i="3"/>
  <c r="W130" i="3" s="1"/>
  <c r="F130" i="3"/>
  <c r="V130" i="3" s="1"/>
  <c r="E130" i="3"/>
  <c r="U130" i="3" s="1"/>
  <c r="G120" i="3"/>
  <c r="W120" i="3" s="1"/>
  <c r="F120" i="3"/>
  <c r="V120" i="3" s="1"/>
  <c r="E120" i="3"/>
  <c r="G118" i="3"/>
  <c r="W118" i="3" s="1"/>
  <c r="F118" i="3"/>
  <c r="V118" i="3" s="1"/>
  <c r="E118" i="3"/>
  <c r="U118" i="3" s="1"/>
  <c r="G112" i="3"/>
  <c r="W112" i="3" s="1"/>
  <c r="F112" i="3"/>
  <c r="V112" i="3" s="1"/>
  <c r="G111" i="3"/>
  <c r="W111" i="3" s="1"/>
  <c r="F111" i="3"/>
  <c r="V111" i="3" s="1"/>
  <c r="E111" i="3"/>
  <c r="U111" i="3" s="1"/>
  <c r="G107" i="3"/>
  <c r="W107" i="3" s="1"/>
  <c r="F107" i="3"/>
  <c r="V107" i="3" s="1"/>
  <c r="E107" i="3"/>
  <c r="U107" i="3" s="1"/>
  <c r="G106" i="3"/>
  <c r="W106" i="3" s="1"/>
  <c r="F106" i="3"/>
  <c r="V106" i="3" s="1"/>
  <c r="E106" i="3"/>
  <c r="U106" i="3" s="1"/>
  <c r="G105" i="3"/>
  <c r="W105" i="3" s="1"/>
  <c r="F105" i="3"/>
  <c r="V105" i="3" s="1"/>
  <c r="E105" i="3"/>
  <c r="G104" i="3"/>
  <c r="W104" i="3" s="1"/>
  <c r="F104" i="3"/>
  <c r="V104" i="3" s="1"/>
  <c r="E104" i="3"/>
  <c r="U104" i="3" s="1"/>
  <c r="G103" i="3"/>
  <c r="W103" i="3" s="1"/>
  <c r="F103" i="3"/>
  <c r="V103" i="3" s="1"/>
  <c r="G102" i="3"/>
  <c r="W102" i="3" s="1"/>
  <c r="F102" i="3"/>
  <c r="V102" i="3" s="1"/>
  <c r="E102" i="3"/>
  <c r="G101" i="3"/>
  <c r="W101" i="3" s="1"/>
  <c r="F101" i="3"/>
  <c r="V101" i="3" s="1"/>
  <c r="E101" i="3"/>
  <c r="U101" i="3" s="1"/>
  <c r="G100" i="3"/>
  <c r="W100" i="3" s="1"/>
  <c r="F100" i="3"/>
  <c r="V100" i="3" s="1"/>
  <c r="E100" i="3"/>
  <c r="U100" i="3" s="1"/>
  <c r="G99" i="3"/>
  <c r="W99" i="3" s="1"/>
  <c r="F99" i="3"/>
  <c r="V99" i="3" s="1"/>
  <c r="G98" i="3"/>
  <c r="W98" i="3" s="1"/>
  <c r="F98" i="3"/>
  <c r="V98" i="3" s="1"/>
  <c r="E98" i="3"/>
  <c r="U98" i="3" s="1"/>
  <c r="G97" i="3"/>
  <c r="W97" i="3" s="1"/>
  <c r="F97" i="3"/>
  <c r="V97" i="3" s="1"/>
  <c r="E97" i="3"/>
  <c r="U97" i="3" s="1"/>
  <c r="G96" i="3"/>
  <c r="W96" i="3" s="1"/>
  <c r="F96" i="3"/>
  <c r="V96" i="3" s="1"/>
  <c r="E96" i="3"/>
  <c r="U96" i="3" s="1"/>
  <c r="G94" i="3"/>
  <c r="W94" i="3" s="1"/>
  <c r="F94" i="3"/>
  <c r="V94" i="3" s="1"/>
  <c r="E94" i="3"/>
  <c r="U94" i="3" s="1"/>
  <c r="G93" i="3"/>
  <c r="W93" i="3" s="1"/>
  <c r="F93" i="3"/>
  <c r="V93" i="3" s="1"/>
  <c r="E93" i="3"/>
  <c r="U93" i="3" s="1"/>
  <c r="W91" i="3"/>
  <c r="V91" i="3"/>
  <c r="U91" i="3"/>
  <c r="G90" i="3"/>
  <c r="W90" i="3" s="1"/>
  <c r="F90" i="3"/>
  <c r="V90" i="3" s="1"/>
  <c r="E90" i="3"/>
  <c r="U90" i="3" s="1"/>
  <c r="G89" i="3"/>
  <c r="W89" i="3" s="1"/>
  <c r="F89" i="3"/>
  <c r="V89" i="3" s="1"/>
  <c r="E89" i="3"/>
  <c r="U89" i="3" s="1"/>
  <c r="G88" i="3"/>
  <c r="W88" i="3" s="1"/>
  <c r="F88" i="3"/>
  <c r="V88" i="3" s="1"/>
  <c r="E88" i="3"/>
  <c r="E87" i="3" s="1"/>
  <c r="G85" i="3"/>
  <c r="W85" i="3" s="1"/>
  <c r="F85" i="3"/>
  <c r="V85" i="3" s="1"/>
  <c r="E85" i="3"/>
  <c r="U85" i="3" s="1"/>
  <c r="G84" i="3"/>
  <c r="W84" i="3" s="1"/>
  <c r="F84" i="3"/>
  <c r="V84" i="3" s="1"/>
  <c r="E84" i="3"/>
  <c r="U84" i="3" s="1"/>
  <c r="G83" i="3"/>
  <c r="W83" i="3" s="1"/>
  <c r="F83" i="3"/>
  <c r="V83" i="3" s="1"/>
  <c r="E83" i="3"/>
  <c r="U83" i="3" s="1"/>
  <c r="G82" i="3"/>
  <c r="F82" i="3"/>
  <c r="E82" i="3"/>
  <c r="H88" i="1"/>
  <c r="G88" i="1"/>
  <c r="F88" i="1"/>
  <c r="E69" i="3"/>
  <c r="E58" i="3"/>
  <c r="E14" i="3"/>
  <c r="F59" i="1" s="1"/>
  <c r="B12" i="3"/>
  <c r="C12" i="3" s="1"/>
  <c r="E12" i="3" s="1"/>
  <c r="F12" i="3" s="1"/>
  <c r="G12" i="3" s="1"/>
  <c r="R12" i="3" s="1"/>
  <c r="S12" i="3" s="1"/>
  <c r="T12" i="3" s="1"/>
  <c r="U12" i="3" s="1"/>
  <c r="V12" i="3" s="1"/>
  <c r="W12" i="3" s="1"/>
  <c r="F11" i="3"/>
  <c r="H117" i="1"/>
  <c r="G117" i="1"/>
  <c r="F117" i="1"/>
  <c r="H90" i="1"/>
  <c r="H153" i="1"/>
  <c r="G153" i="1"/>
  <c r="H128" i="1"/>
  <c r="G128" i="1"/>
  <c r="F128" i="1"/>
  <c r="I282" i="1"/>
  <c r="I278" i="1"/>
  <c r="I274" i="1"/>
  <c r="I268" i="1"/>
  <c r="I265" i="1"/>
  <c r="U155" i="3" l="1"/>
  <c r="U88" i="3"/>
  <c r="E119" i="3"/>
  <c r="W82" i="3"/>
  <c r="H89" i="1"/>
  <c r="H87" i="1" s="1"/>
  <c r="W86" i="3"/>
  <c r="H114" i="1"/>
  <c r="W137" i="3"/>
  <c r="H131" i="1"/>
  <c r="H130" i="1" s="1"/>
  <c r="H127" i="1" s="1"/>
  <c r="H126" i="1" s="1"/>
  <c r="H125" i="1" s="1"/>
  <c r="W139" i="3"/>
  <c r="H156" i="1"/>
  <c r="H155" i="1" s="1"/>
  <c r="H152" i="1" s="1"/>
  <c r="W140" i="3"/>
  <c r="H161" i="1"/>
  <c r="H160" i="1" s="1"/>
  <c r="H157" i="1" s="1"/>
  <c r="F127" i="1"/>
  <c r="F126" i="1" s="1"/>
  <c r="F125" i="1" s="1"/>
  <c r="V82" i="3"/>
  <c r="G89" i="1"/>
  <c r="G87" i="1" s="1"/>
  <c r="V86" i="3"/>
  <c r="G115" i="1"/>
  <c r="G114" i="1" s="1"/>
  <c r="V137" i="3"/>
  <c r="G131" i="1"/>
  <c r="G130" i="1" s="1"/>
  <c r="G127" i="1" s="1"/>
  <c r="G126" i="1" s="1"/>
  <c r="G125" i="1" s="1"/>
  <c r="V139" i="3"/>
  <c r="G156" i="1"/>
  <c r="G155" i="1" s="1"/>
  <c r="G152" i="1" s="1"/>
  <c r="V140" i="3"/>
  <c r="G161" i="1"/>
  <c r="G160" i="1" s="1"/>
  <c r="G157" i="1" s="1"/>
  <c r="U86" i="3"/>
  <c r="F114" i="1"/>
  <c r="U82" i="3"/>
  <c r="F89" i="1"/>
  <c r="F87" i="1" s="1"/>
  <c r="U58" i="3"/>
  <c r="F243" i="1"/>
  <c r="U69" i="3"/>
  <c r="F244" i="1"/>
  <c r="F90" i="1"/>
  <c r="H148" i="1"/>
  <c r="H147" i="1" s="1"/>
  <c r="G90" i="1"/>
  <c r="K18" i="9"/>
  <c r="J95" i="9" s="1"/>
  <c r="H84" i="1"/>
  <c r="M18" i="9"/>
  <c r="E114" i="9" s="1"/>
  <c r="E121" i="9" s="1"/>
  <c r="H121" i="9" s="1"/>
  <c r="H120" i="9" s="1"/>
  <c r="G111" i="1"/>
  <c r="N18" i="9"/>
  <c r="F114" i="9" s="1"/>
  <c r="F121" i="9" s="1"/>
  <c r="I121" i="9" s="1"/>
  <c r="I120" i="9" s="1"/>
  <c r="H111" i="1"/>
  <c r="J18" i="9"/>
  <c r="J21" i="9" s="1"/>
  <c r="G148" i="1"/>
  <c r="G147" i="1" s="1"/>
  <c r="K21" i="9"/>
  <c r="E980" i="3"/>
  <c r="U81" i="3"/>
  <c r="W81" i="3"/>
  <c r="U987" i="3"/>
  <c r="V81" i="3"/>
  <c r="U120" i="3"/>
  <c r="U102" i="3"/>
  <c r="U105" i="3"/>
  <c r="U133" i="3"/>
  <c r="S1236" i="10"/>
  <c r="S1237" i="10" s="1"/>
  <c r="S1209" i="10"/>
  <c r="S1221" i="10" s="1"/>
  <c r="U141" i="3"/>
  <c r="W141" i="3"/>
  <c r="V142" i="3"/>
  <c r="V141" i="3"/>
  <c r="U142" i="3"/>
  <c r="W142" i="3"/>
  <c r="V157" i="3"/>
  <c r="V1209" i="10"/>
  <c r="V1221" i="10" s="1"/>
  <c r="U137" i="3"/>
  <c r="V1232" i="10"/>
  <c r="V1233" i="10" s="1"/>
  <c r="T1207" i="10"/>
  <c r="T1219" i="10" s="1"/>
  <c r="U14" i="3"/>
  <c r="F19" i="9"/>
  <c r="O46" i="9" s="1"/>
  <c r="H19" i="9"/>
  <c r="O107" i="9" s="1"/>
  <c r="V1228" i="10"/>
  <c r="V1229" i="10" s="1"/>
  <c r="V1210" i="10"/>
  <c r="V1222" i="10" s="1"/>
  <c r="F1076" i="3"/>
  <c r="G215" i="1" s="1"/>
  <c r="V1076" i="3"/>
  <c r="G19" i="9"/>
  <c r="V1236" i="10"/>
  <c r="G1076" i="3"/>
  <c r="H215" i="1" s="1"/>
  <c r="W1076" i="3"/>
  <c r="H18" i="9"/>
  <c r="I18" i="9"/>
  <c r="I21" i="9" s="1"/>
  <c r="F18" i="9"/>
  <c r="I264" i="1"/>
  <c r="L19" i="9"/>
  <c r="D133" i="9" s="1"/>
  <c r="N19" i="9"/>
  <c r="F133" i="9" s="1"/>
  <c r="M19" i="9"/>
  <c r="E133" i="9" s="1"/>
  <c r="I298" i="1"/>
  <c r="I299" i="1"/>
  <c r="G95" i="3"/>
  <c r="W95" i="3" s="1"/>
  <c r="G11" i="3"/>
  <c r="F87" i="3"/>
  <c r="V87" i="3" s="1"/>
  <c r="G154" i="3"/>
  <c r="F154" i="3"/>
  <c r="F119" i="3"/>
  <c r="V119" i="3" s="1"/>
  <c r="G119" i="3"/>
  <c r="W119" i="3" s="1"/>
  <c r="F95" i="3"/>
  <c r="G87" i="3"/>
  <c r="U980" i="3" l="1"/>
  <c r="E2" i="3"/>
  <c r="U119" i="3"/>
  <c r="H146" i="1"/>
  <c r="H83" i="1"/>
  <c r="G110" i="1"/>
  <c r="G109" i="1" s="1"/>
  <c r="F242" i="1"/>
  <c r="F83" i="1"/>
  <c r="H110" i="1"/>
  <c r="H109" i="1" s="1"/>
  <c r="E140" i="9"/>
  <c r="H140" i="9" s="1"/>
  <c r="H139" i="9" s="1"/>
  <c r="H133" i="9"/>
  <c r="H132" i="9" s="1"/>
  <c r="F140" i="9"/>
  <c r="I140" i="9" s="1"/>
  <c r="I139" i="9" s="1"/>
  <c r="I133" i="9"/>
  <c r="I132" i="9" s="1"/>
  <c r="G146" i="1"/>
  <c r="D140" i="9"/>
  <c r="G140" i="9" s="1"/>
  <c r="G139" i="9" s="1"/>
  <c r="G133" i="9"/>
  <c r="G132" i="9" s="1"/>
  <c r="J71" i="9"/>
  <c r="T1205" i="10"/>
  <c r="T1217" i="10" s="1"/>
  <c r="I114" i="9"/>
  <c r="I113" i="9" s="1"/>
  <c r="F67" i="1"/>
  <c r="H114" i="9"/>
  <c r="H113" i="9" s="1"/>
  <c r="H126" i="9" s="1"/>
  <c r="Q126" i="9" s="1"/>
  <c r="L18" i="9"/>
  <c r="D114" i="9" s="1"/>
  <c r="D121" i="9" s="1"/>
  <c r="G121" i="9" s="1"/>
  <c r="G120" i="9" s="1"/>
  <c r="F111" i="1"/>
  <c r="F110" i="1" s="1"/>
  <c r="F109" i="1" s="1"/>
  <c r="G84" i="1"/>
  <c r="O34" i="9"/>
  <c r="I126" i="9"/>
  <c r="R126" i="9" s="1"/>
  <c r="S1204" i="10"/>
  <c r="S1216" i="10" s="1"/>
  <c r="G80" i="3"/>
  <c r="W80" i="3" s="1"/>
  <c r="O83" i="9"/>
  <c r="F80" i="3"/>
  <c r="U87" i="3"/>
  <c r="C30" i="8"/>
  <c r="C28" i="8" s="1"/>
  <c r="R1236" i="10"/>
  <c r="W87" i="3"/>
  <c r="G1074" i="3"/>
  <c r="V95" i="3"/>
  <c r="F1074" i="3"/>
  <c r="G217" i="1"/>
  <c r="G269" i="1" s="1"/>
  <c r="H217" i="1"/>
  <c r="H269" i="1" s="1"/>
  <c r="T1204" i="10"/>
  <c r="E18" i="9"/>
  <c r="R18" i="9" s="1"/>
  <c r="O95" i="9"/>
  <c r="S1228" i="10"/>
  <c r="S1229" i="10" s="1"/>
  <c r="R1229" i="10" s="1"/>
  <c r="R1209" i="10"/>
  <c r="R1221" i="10" s="1"/>
  <c r="V154" i="3"/>
  <c r="V1077" i="3" s="1"/>
  <c r="W154" i="3"/>
  <c r="W1077" i="3" s="1"/>
  <c r="C24" i="8"/>
  <c r="I80" i="8" s="1"/>
  <c r="M80" i="8" s="1"/>
  <c r="H21" i="9"/>
  <c r="D19" i="9"/>
  <c r="Q19" i="9" s="1"/>
  <c r="E19" i="9"/>
  <c r="R19" i="9" s="1"/>
  <c r="V1237" i="10"/>
  <c r="R1237" i="10" s="1"/>
  <c r="G18" i="9"/>
  <c r="O71" i="9" s="1"/>
  <c r="T1202" i="10"/>
  <c r="J34" i="9"/>
  <c r="AB655" i="10"/>
  <c r="N21" i="9"/>
  <c r="C19" i="9"/>
  <c r="P19" i="9" s="1"/>
  <c r="M21" i="9"/>
  <c r="F21" i="9"/>
  <c r="F1077" i="3"/>
  <c r="G216" i="1" s="1"/>
  <c r="G1077" i="3"/>
  <c r="H216" i="1" s="1"/>
  <c r="H82" i="1" l="1"/>
  <c r="G145" i="9"/>
  <c r="F82" i="1"/>
  <c r="G83" i="1"/>
  <c r="G82" i="1" s="1"/>
  <c r="I145" i="9"/>
  <c r="H145" i="9"/>
  <c r="F217" i="1"/>
  <c r="F271" i="1" s="1"/>
  <c r="L21" i="9"/>
  <c r="C21" i="9" s="1"/>
  <c r="C18" i="9"/>
  <c r="P18" i="9" s="1"/>
  <c r="G114" i="9"/>
  <c r="G113" i="9" s="1"/>
  <c r="G126" i="9" s="1"/>
  <c r="P126" i="9" s="1"/>
  <c r="T1216" i="10"/>
  <c r="R1228" i="10"/>
  <c r="G21" i="9"/>
  <c r="D21" i="9" s="1"/>
  <c r="S1232" i="10"/>
  <c r="R1232" i="10" s="1"/>
  <c r="V1074" i="3"/>
  <c r="V1075" i="3" s="1"/>
  <c r="D18" i="9"/>
  <c r="Q18" i="9" s="1"/>
  <c r="U48" i="3"/>
  <c r="W1209" i="10"/>
  <c r="U47" i="3"/>
  <c r="W1074" i="3"/>
  <c r="W1075" i="3" s="1"/>
  <c r="R493" i="10"/>
  <c r="T1203" i="10"/>
  <c r="F1" i="3"/>
  <c r="V80" i="3"/>
  <c r="G1" i="3"/>
  <c r="E21" i="9"/>
  <c r="W1221" i="10"/>
  <c r="R430" i="10"/>
  <c r="R429" i="10" s="1"/>
  <c r="S429" i="10"/>
  <c r="D23" i="8"/>
  <c r="E23" i="8"/>
  <c r="G1075" i="3"/>
  <c r="H214" i="1" s="1"/>
  <c r="H213" i="1" s="1"/>
  <c r="H277" i="1" s="1"/>
  <c r="F1075" i="3"/>
  <c r="G214" i="1" s="1"/>
  <c r="G213" i="1" s="1"/>
  <c r="G277" i="1" s="1"/>
  <c r="H209" i="1"/>
  <c r="H267" i="1" s="1"/>
  <c r="G209" i="1"/>
  <c r="G267" i="1" s="1"/>
  <c r="G282" i="1" l="1"/>
  <c r="H282" i="1"/>
  <c r="E16" i="24"/>
  <c r="E5" i="24" s="1"/>
  <c r="F16" i="24"/>
  <c r="F5" i="24" s="1"/>
  <c r="G208" i="1"/>
  <c r="G188" i="1" s="1"/>
  <c r="G255" i="1" s="1"/>
  <c r="H208" i="1"/>
  <c r="H188" i="1" s="1"/>
  <c r="H255" i="1" s="1"/>
  <c r="S1233" i="10"/>
  <c r="R1233" i="10" s="1"/>
  <c r="R488" i="10"/>
  <c r="T92" i="10"/>
  <c r="T1187" i="10" s="1"/>
  <c r="R492" i="10"/>
  <c r="U144" i="3"/>
  <c r="U1076" i="3" s="1"/>
  <c r="K68" i="8"/>
  <c r="O68" i="8" s="1"/>
  <c r="E22" i="8"/>
  <c r="E15" i="8" s="1"/>
  <c r="J68" i="8"/>
  <c r="N68" i="8" s="1"/>
  <c r="D22" i="8"/>
  <c r="D15" i="8" s="1"/>
  <c r="I300" i="1"/>
  <c r="I297" i="1"/>
  <c r="H268" i="1"/>
  <c r="G268" i="1"/>
  <c r="E1076" i="3"/>
  <c r="F215" i="1" s="1"/>
  <c r="J215" i="1" s="1"/>
  <c r="G81" i="1" l="1"/>
  <c r="F25" i="24"/>
  <c r="F26" i="24" s="1"/>
  <c r="E25" i="24"/>
  <c r="E26" i="24" s="1"/>
  <c r="H81" i="1"/>
  <c r="O15" i="8"/>
  <c r="S15" i="8"/>
  <c r="N15" i="8"/>
  <c r="R15" i="8"/>
  <c r="R423" i="10"/>
  <c r="F268" i="1"/>
  <c r="V1204" i="10"/>
  <c r="R1204" i="10" s="1"/>
  <c r="K44" i="9"/>
  <c r="D105" i="9"/>
  <c r="D81" i="9"/>
  <c r="K81" i="9" s="1"/>
  <c r="K105" i="9" s="1"/>
  <c r="K45" i="9"/>
  <c r="D82" i="9"/>
  <c r="K82" i="9" s="1"/>
  <c r="K106" i="9" s="1"/>
  <c r="D106" i="9"/>
  <c r="K43" i="9"/>
  <c r="D80" i="9"/>
  <c r="K80" i="9" s="1"/>
  <c r="K104" i="9" s="1"/>
  <c r="D104" i="9"/>
  <c r="D103" i="9"/>
  <c r="D79" i="9"/>
  <c r="K79" i="9" s="1"/>
  <c r="G265" i="1"/>
  <c r="H265" i="1"/>
  <c r="G274" i="1" l="1"/>
  <c r="K103" i="9"/>
  <c r="K83" i="9"/>
  <c r="T1190" i="10"/>
  <c r="V1216" i="10"/>
  <c r="K46" i="9"/>
  <c r="H274" i="1"/>
  <c r="G298" i="1"/>
  <c r="G264" i="1" l="1"/>
  <c r="G297" i="1" s="1"/>
  <c r="P46" i="9"/>
  <c r="T1191" i="10"/>
  <c r="T1215" i="10" s="1"/>
  <c r="T1214" i="10"/>
  <c r="W1204" i="10"/>
  <c r="R1216" i="10"/>
  <c r="P83" i="9"/>
  <c r="K107" i="9"/>
  <c r="P107" i="9" s="1"/>
  <c r="H264" i="1"/>
  <c r="H297" i="1" s="1"/>
  <c r="H285" i="1"/>
  <c r="G284" i="1"/>
  <c r="H298" i="1"/>
  <c r="W1216" i="10" l="1"/>
  <c r="H300" i="1"/>
  <c r="G299" i="1"/>
  <c r="H299" i="1"/>
  <c r="G300" i="1"/>
  <c r="I37" i="10" l="1"/>
  <c r="U463" i="3" l="1"/>
  <c r="E103" i="3" l="1"/>
  <c r="U103" i="3" s="1"/>
  <c r="E99" i="3" l="1"/>
  <c r="U99" i="3" s="1"/>
  <c r="U459" i="3" l="1"/>
  <c r="C92" i="8" l="1"/>
  <c r="M93" i="8" s="1"/>
  <c r="U472" i="3" l="1"/>
  <c r="E112" i="3"/>
  <c r="E455" i="3"/>
  <c r="U455" i="3" l="1"/>
  <c r="U112" i="3"/>
  <c r="E95" i="3"/>
  <c r="U95" i="3" l="1"/>
  <c r="H87" i="3"/>
  <c r="R66" i="10"/>
  <c r="R68" i="10"/>
  <c r="R78" i="10"/>
  <c r="R76" i="10"/>
  <c r="R75" i="10"/>
  <c r="R65" i="10"/>
  <c r="R73" i="10"/>
  <c r="R71" i="10"/>
  <c r="R70" i="10"/>
  <c r="R74" i="10" l="1"/>
  <c r="V64" i="10"/>
  <c r="V69" i="10"/>
  <c r="V74" i="10"/>
  <c r="R64" i="10"/>
  <c r="R69" i="10"/>
  <c r="V58" i="10" l="1"/>
  <c r="R58" i="10"/>
  <c r="R57" i="10" s="1"/>
  <c r="R1194" i="10" s="1"/>
  <c r="V57" i="10" l="1"/>
  <c r="E452" i="3" s="1"/>
  <c r="E440" i="3" l="1"/>
  <c r="U440" i="3" s="1"/>
  <c r="E92" i="3"/>
  <c r="U452" i="3"/>
  <c r="V1194" i="10"/>
  <c r="E6" i="3" l="1"/>
  <c r="U92" i="3"/>
  <c r="E1078" i="3"/>
  <c r="W1194" i="10"/>
  <c r="V1206" i="10" l="1"/>
  <c r="R1206" i="10" s="1"/>
  <c r="W1206" i="10" s="1"/>
  <c r="F225" i="1"/>
  <c r="F224" i="1" s="1"/>
  <c r="F221" i="1" s="1"/>
  <c r="V1218" i="10" l="1"/>
  <c r="R1218" i="10"/>
  <c r="V46" i="10"/>
  <c r="V41" i="10" s="1"/>
  <c r="R52" i="10"/>
  <c r="W1218" i="10" l="1"/>
  <c r="V1186" i="10"/>
  <c r="E229" i="3"/>
  <c r="V1199" i="10"/>
  <c r="U229" i="3" l="1"/>
  <c r="E139" i="3"/>
  <c r="F156" i="1" s="1"/>
  <c r="F155" i="1" s="1"/>
  <c r="U139" i="3" l="1"/>
  <c r="V1211" i="10"/>
  <c r="V1223" i="10" s="1"/>
  <c r="R50" i="10"/>
  <c r="R48" i="10"/>
  <c r="R54" i="10" l="1"/>
  <c r="R56" i="10" l="1"/>
  <c r="S46" i="10"/>
  <c r="F153" i="1" l="1"/>
  <c r="F152" i="1" s="1"/>
  <c r="S41" i="10"/>
  <c r="R46" i="10"/>
  <c r="R688" i="10"/>
  <c r="S1211" i="10" l="1"/>
  <c r="R1211" i="10" s="1"/>
  <c r="W1211" i="10" s="1"/>
  <c r="S1186" i="10"/>
  <c r="S1199" i="10"/>
  <c r="R41" i="10"/>
  <c r="R689" i="10"/>
  <c r="R681" i="10" s="1"/>
  <c r="R680" i="10" s="1"/>
  <c r="S1223" i="10" l="1"/>
  <c r="R1199" i="10"/>
  <c r="W1199" i="10" s="1"/>
  <c r="R1186" i="10"/>
  <c r="V681" i="10"/>
  <c r="V680" i="10" l="1"/>
  <c r="E258" i="3"/>
  <c r="R1223" i="10"/>
  <c r="U258" i="3" l="1"/>
  <c r="E168" i="3"/>
  <c r="U168" i="3" s="1"/>
  <c r="W1223" i="10"/>
  <c r="R884" i="10" l="1"/>
  <c r="R882" i="10"/>
  <c r="R881" i="10"/>
  <c r="V858" i="10"/>
  <c r="E252" i="3" s="1"/>
  <c r="R883" i="10"/>
  <c r="R885" i="10"/>
  <c r="E162" i="3" l="1"/>
  <c r="U162" i="3" s="1"/>
  <c r="R858" i="10"/>
  <c r="U252" i="3" l="1"/>
  <c r="R917" i="10"/>
  <c r="R919" i="10" l="1"/>
  <c r="V914" i="10"/>
  <c r="R918" i="10"/>
  <c r="R922" i="10"/>
  <c r="R923" i="10"/>
  <c r="R921" i="10"/>
  <c r="R920" i="10"/>
  <c r="R915" i="10"/>
  <c r="E164" i="3" l="1"/>
  <c r="U164" i="3" s="1"/>
  <c r="R914" i="10"/>
  <c r="U254" i="3" l="1"/>
  <c r="R962" i="10"/>
  <c r="R981" i="10"/>
  <c r="R980" i="10"/>
  <c r="R965" i="10"/>
  <c r="R961" i="10"/>
  <c r="R951" i="10"/>
  <c r="R952" i="10" l="1"/>
  <c r="R963" i="10"/>
  <c r="R966" i="10"/>
  <c r="R968" i="10"/>
  <c r="R960" i="10"/>
  <c r="R955" i="10"/>
  <c r="R971" i="10"/>
  <c r="R967" i="10"/>
  <c r="R958" i="10" l="1"/>
  <c r="R972" i="10"/>
  <c r="R956" i="10"/>
  <c r="R957" i="10"/>
  <c r="R953" i="10"/>
  <c r="R974" i="10" l="1"/>
  <c r="R1025" i="10" l="1"/>
  <c r="R977" i="10"/>
  <c r="R1024" i="10" l="1"/>
  <c r="R978" i="10"/>
  <c r="R976" i="10"/>
  <c r="R979" i="10"/>
  <c r="R975" i="10"/>
  <c r="R1026" i="10"/>
  <c r="R1085" i="10" l="1"/>
  <c r="R1093" i="10" l="1"/>
  <c r="R1088" i="10"/>
  <c r="R1086" i="10"/>
  <c r="R1092" i="10" l="1"/>
  <c r="R1090" i="10"/>
  <c r="R1089" i="10"/>
  <c r="R1094" i="10"/>
  <c r="R1087" i="10"/>
  <c r="R1091" i="10"/>
  <c r="V1084" i="10"/>
  <c r="E249" i="3" s="1"/>
  <c r="R1095" i="10"/>
  <c r="R1096" i="10"/>
  <c r="U249" i="3" l="1"/>
  <c r="R1084" i="10"/>
  <c r="E159" i="3" l="1"/>
  <c r="U159" i="3" s="1"/>
  <c r="R954" i="10" l="1"/>
  <c r="R964" i="10" l="1"/>
  <c r="R973" i="10" l="1"/>
  <c r="V950" i="10" l="1"/>
  <c r="V1193" i="10" l="1"/>
  <c r="E247" i="3"/>
  <c r="U247" i="3" s="1"/>
  <c r="R959" i="10"/>
  <c r="R950" i="10" s="1"/>
  <c r="R1193" i="10" s="1"/>
  <c r="S950" i="10"/>
  <c r="V705" i="10"/>
  <c r="V92" i="10" s="1"/>
  <c r="V1187" i="10" s="1"/>
  <c r="S1193" i="10" l="1"/>
  <c r="E244" i="3"/>
  <c r="H964" i="3" s="1"/>
  <c r="E157" i="3"/>
  <c r="E154" i="3" s="1"/>
  <c r="S705" i="10"/>
  <c r="S92" i="10" s="1"/>
  <c r="S1187" i="10" s="1"/>
  <c r="U244" i="3" l="1"/>
  <c r="U157" i="3"/>
  <c r="V1190" i="10"/>
  <c r="R705" i="10"/>
  <c r="R92" i="10" s="1"/>
  <c r="R1187" i="10" s="1"/>
  <c r="E1074" i="3" l="1"/>
  <c r="U154" i="3"/>
  <c r="E1077" i="3"/>
  <c r="F216" i="1" s="1"/>
  <c r="J216" i="1" s="1"/>
  <c r="S1190" i="10"/>
  <c r="W1193" i="10"/>
  <c r="V1191" i="10"/>
  <c r="S1202" i="10" l="1"/>
  <c r="R1190" i="10"/>
  <c r="U1077" i="3"/>
  <c r="U1074" i="3"/>
  <c r="V1202" i="10"/>
  <c r="E1075" i="3"/>
  <c r="F214" i="1" s="1"/>
  <c r="J214" i="1" s="1"/>
  <c r="V1205" i="10"/>
  <c r="S1191" i="10"/>
  <c r="F213" i="1" l="1"/>
  <c r="F277" i="1" s="1"/>
  <c r="R214" i="1"/>
  <c r="D16" i="24"/>
  <c r="D5" i="24" s="1"/>
  <c r="R1202" i="10"/>
  <c r="S1205" i="10"/>
  <c r="S1217" i="10" s="1"/>
  <c r="F209" i="1"/>
  <c r="F267" i="1" s="1"/>
  <c r="S1214" i="10"/>
  <c r="U1075" i="3"/>
  <c r="V1217" i="10"/>
  <c r="V1203" i="10"/>
  <c r="V1214" i="10"/>
  <c r="W1190" i="10"/>
  <c r="R1191" i="10"/>
  <c r="S1203" i="10" l="1"/>
  <c r="S1215" i="10" s="1"/>
  <c r="F265" i="1"/>
  <c r="F282" i="1"/>
  <c r="F208" i="1"/>
  <c r="F188" i="1" s="1"/>
  <c r="F255" i="1" s="1"/>
  <c r="D25" i="24" s="1"/>
  <c r="D26" i="24" s="1"/>
  <c r="R1205" i="10"/>
  <c r="W1205" i="10" s="1"/>
  <c r="W1202" i="10"/>
  <c r="R1214" i="10"/>
  <c r="W1214" i="10" s="1"/>
  <c r="R1203" i="10"/>
  <c r="W1203" i="10" s="1"/>
  <c r="V1215" i="10"/>
  <c r="W1191" i="10"/>
  <c r="R1217" i="10" l="1"/>
  <c r="W1217" i="10" s="1"/>
  <c r="F274" i="1"/>
  <c r="R1215" i="10"/>
  <c r="W1215" i="10" s="1"/>
  <c r="F283" i="1" l="1"/>
  <c r="F299" i="1" s="1"/>
  <c r="F264" i="1"/>
  <c r="F297" i="1" s="1"/>
  <c r="F298" i="1"/>
  <c r="F300" i="1" l="1"/>
  <c r="R36" i="10" l="1"/>
  <c r="S34" i="10"/>
  <c r="F148" i="1" l="1"/>
  <c r="F147" i="1" s="1"/>
  <c r="R34" i="10"/>
  <c r="S30" i="10"/>
  <c r="S1210" i="10" l="1"/>
  <c r="R1210" i="10" s="1"/>
  <c r="W1210" i="10" s="1"/>
  <c r="R30" i="10"/>
  <c r="S1185" i="10"/>
  <c r="S1198" i="10"/>
  <c r="S1222" i="10" l="1"/>
  <c r="R1185" i="10"/>
  <c r="R1198" i="10"/>
  <c r="W1198" i="10" l="1"/>
  <c r="R1222" i="10"/>
  <c r="W1222" i="10" l="1"/>
  <c r="I30" i="9" l="1"/>
  <c r="D30" i="9" s="1"/>
  <c r="K30" i="9" s="1"/>
  <c r="G91" i="9"/>
  <c r="I91" i="9"/>
  <c r="D67" i="9" l="1"/>
  <c r="K67" i="9" s="1"/>
  <c r="K91" i="9" l="1"/>
  <c r="D91" i="9" l="1"/>
  <c r="I33" i="9" l="1"/>
  <c r="D33" i="9" s="1"/>
  <c r="K33" i="9" s="1"/>
  <c r="I31" i="9"/>
  <c r="D31" i="9" s="1"/>
  <c r="K31" i="9" s="1"/>
  <c r="I32" i="9"/>
  <c r="D32" i="9" s="1"/>
  <c r="K32" i="9" s="1"/>
  <c r="G93" i="9" l="1"/>
  <c r="I69" i="9"/>
  <c r="I93" i="9" s="1"/>
  <c r="K34" i="9"/>
  <c r="P34" i="9" s="1"/>
  <c r="G94" i="9"/>
  <c r="I70" i="9"/>
  <c r="I94" i="9" s="1"/>
  <c r="I68" i="9"/>
  <c r="I92" i="9" s="1"/>
  <c r="D70" i="9" l="1"/>
  <c r="D94" i="9"/>
  <c r="D68" i="9"/>
  <c r="K68" i="9" s="1"/>
  <c r="D92" i="9"/>
  <c r="D69" i="9"/>
  <c r="K69" i="9" s="1"/>
  <c r="D93" i="9"/>
  <c r="K70" i="9" l="1"/>
  <c r="K94" i="9" s="1"/>
  <c r="K93" i="9"/>
  <c r="K92" i="9"/>
  <c r="K71" i="9"/>
  <c r="P71" i="9" s="1"/>
  <c r="K95" i="9" l="1"/>
  <c r="P95" i="9" s="1"/>
  <c r="R17" i="10" l="1"/>
  <c r="S12" i="10"/>
  <c r="S1182" i="10" l="1"/>
  <c r="S1195" i="10"/>
  <c r="R12" i="10"/>
  <c r="S1207" i="10"/>
  <c r="R1207" i="10" s="1"/>
  <c r="W1207" i="10" s="1"/>
  <c r="C23" i="8" l="1"/>
  <c r="I68" i="8" s="1"/>
  <c r="M68" i="8" s="1"/>
  <c r="F63" i="1"/>
  <c r="F61" i="1" s="1"/>
  <c r="S1219" i="10"/>
  <c r="R1182" i="10"/>
  <c r="R1195" i="10"/>
  <c r="J60" i="1" l="1"/>
  <c r="J61" i="1" s="1"/>
  <c r="C22" i="8"/>
  <c r="C15" i="8" s="1"/>
  <c r="Q15" i="8" s="1"/>
  <c r="R1219" i="10"/>
  <c r="W1195" i="10"/>
  <c r="M15" i="8" l="1"/>
  <c r="W1219" i="10"/>
  <c r="D13" i="7" l="1"/>
  <c r="D20" i="7"/>
  <c r="U230" i="3" l="1"/>
  <c r="E140" i="3"/>
  <c r="F161" i="1" s="1"/>
  <c r="F160" i="1" s="1"/>
  <c r="F157" i="1" s="1"/>
  <c r="F146" i="1" s="1"/>
  <c r="F81" i="1" l="1"/>
  <c r="F60" i="1" s="1"/>
  <c r="E80" i="3"/>
  <c r="E170" i="3"/>
  <c r="E3" i="3" s="1"/>
  <c r="U140" i="3"/>
  <c r="U170" i="3" l="1"/>
  <c r="U80" i="3"/>
  <c r="E1" i="3"/>
  <c r="G59" i="1" l="1"/>
  <c r="G60" i="1" l="1"/>
  <c r="H59" i="1" s="1"/>
  <c r="H60" i="1" s="1"/>
</calcChain>
</file>

<file path=xl/comments1.xml><?xml version="1.0" encoding="utf-8"?>
<comments xmlns="http://schemas.openxmlformats.org/spreadsheetml/2006/main">
  <authors>
    <author>SEREGA</author>
    <author>Овчинникова Анастасия Владимировна</author>
  </authors>
  <commentList>
    <comment ref="I2" authorId="0">
      <text>
        <r>
          <rPr>
            <b/>
            <sz val="9"/>
            <color indexed="81"/>
            <rFont val="Tahoma"/>
            <family val="2"/>
            <charset val="204"/>
          </rPr>
          <t xml:space="preserve">утвержденный бюджет
</t>
        </r>
      </text>
    </comment>
    <comment ref="A6" authorId="0">
      <text>
        <r>
          <rPr>
            <b/>
            <sz val="9"/>
            <color indexed="81"/>
            <rFont val="Tahoma"/>
            <family val="2"/>
            <charset val="204"/>
          </rPr>
          <t xml:space="preserve">В соответствии с утвержденным бюджетом
</t>
        </r>
      </text>
    </comment>
    <comment ref="I200" authorId="1">
      <text>
        <r>
          <rPr>
            <b/>
            <sz val="9"/>
            <color indexed="81"/>
            <rFont val="Tahoma"/>
            <family val="2"/>
            <charset val="204"/>
          </rPr>
          <t>Овчинникова Анастасия Владимировна:</t>
        </r>
        <r>
          <rPr>
            <sz val="9"/>
            <color indexed="81"/>
            <rFont val="Tahoma"/>
            <family val="2"/>
            <charset val="204"/>
          </rPr>
          <t xml:space="preserve">
был договор на 15000
</t>
        </r>
      </text>
    </comment>
  </commentList>
</comments>
</file>

<file path=xl/comments2.xml><?xml version="1.0" encoding="utf-8"?>
<comments xmlns="http://schemas.openxmlformats.org/spreadsheetml/2006/main">
  <authors>
    <author>Овчинникова Анастасия Владимировна</author>
  </authors>
  <commentList>
    <comment ref="A181" authorId="0">
      <text>
        <r>
          <rPr>
            <b/>
            <sz val="9"/>
            <color indexed="81"/>
            <rFont val="Tahoma"/>
            <family val="2"/>
            <charset val="204"/>
          </rPr>
          <t>Овчинникова Анастасия Владимировна:</t>
        </r>
        <r>
          <rPr>
            <sz val="9"/>
            <color indexed="81"/>
            <rFont val="Tahoma"/>
            <family val="2"/>
            <charset val="204"/>
          </rPr>
          <t xml:space="preserve">
вода</t>
        </r>
      </text>
    </comment>
    <comment ref="A182" authorId="0">
      <text>
        <r>
          <rPr>
            <b/>
            <sz val="9"/>
            <color indexed="81"/>
            <rFont val="Tahoma"/>
            <family val="2"/>
            <charset val="204"/>
          </rPr>
          <t>Овчинникова Анастасия Владимировна:</t>
        </r>
        <r>
          <rPr>
            <sz val="9"/>
            <color indexed="81"/>
            <rFont val="Tahoma"/>
            <family val="2"/>
            <charset val="204"/>
          </rPr>
          <t xml:space="preserve">
тепло, эл.эн
</t>
        </r>
      </text>
    </comment>
  </commentList>
</comments>
</file>

<file path=xl/comments3.xml><?xml version="1.0" encoding="utf-8"?>
<comments xmlns="http://schemas.openxmlformats.org/spreadsheetml/2006/main">
  <authors>
    <author>Светлана Николаевна Какошина</author>
    <author>Овчинникова Анастасия Владимировна</author>
    <author>Светлана Анатольевна Правосудова</author>
  </authors>
  <commentList>
    <comment ref="B5" authorId="0">
      <text>
        <r>
          <rPr>
            <b/>
            <sz val="9"/>
            <color indexed="81"/>
            <rFont val="Tahoma"/>
            <family val="2"/>
            <charset val="204"/>
          </rPr>
          <t>вода 3 мес, ПЖРЭТ на 6 мес</t>
        </r>
      </text>
    </comment>
    <comment ref="E5" authorId="1">
      <text>
        <r>
          <rPr>
            <b/>
            <sz val="9"/>
            <color indexed="81"/>
            <rFont val="Tahoma"/>
            <family val="2"/>
            <charset val="204"/>
          </rPr>
          <t>Овчинникова Анастасия Владимировна:</t>
        </r>
        <r>
          <rPr>
            <sz val="9"/>
            <color indexed="81"/>
            <rFont val="Tahoma"/>
            <family val="2"/>
            <charset val="204"/>
          </rPr>
          <t xml:space="preserve">
мониторинг апс+то апс
</t>
        </r>
      </text>
    </comment>
    <comment ref="B7" authorId="1">
      <text>
        <r>
          <rPr>
            <b/>
            <sz val="9"/>
            <color indexed="81"/>
            <rFont val="Tahoma"/>
            <family val="2"/>
            <charset val="204"/>
          </rPr>
          <t>Овчинникова Анастасия Владимировна:</t>
        </r>
        <r>
          <rPr>
            <sz val="9"/>
            <color indexed="81"/>
            <rFont val="Tahoma"/>
            <family val="2"/>
            <charset val="204"/>
          </rPr>
          <t xml:space="preserve">
гтс и мтс, интернет
</t>
        </r>
      </text>
    </comment>
    <comment ref="H7" authorId="1">
      <text>
        <r>
          <rPr>
            <b/>
            <sz val="9"/>
            <color indexed="81"/>
            <rFont val="Tahoma"/>
            <family val="2"/>
            <charset val="204"/>
          </rPr>
          <t>Овчинникова Анастасия Владимировна:</t>
        </r>
        <r>
          <rPr>
            <sz val="9"/>
            <color indexed="81"/>
            <rFont val="Tahoma"/>
            <family val="2"/>
            <charset val="204"/>
          </rPr>
          <t xml:space="preserve">
интернет,гтс и мтс</t>
        </r>
      </text>
    </comment>
    <comment ref="B10" authorId="1">
      <text>
        <r>
          <rPr>
            <b/>
            <sz val="9"/>
            <color indexed="81"/>
            <rFont val="Tahoma"/>
            <family val="2"/>
            <charset val="204"/>
          </rPr>
          <t>Овчинникова Анастасия Владимировна:</t>
        </r>
        <r>
          <rPr>
            <sz val="9"/>
            <color indexed="81"/>
            <rFont val="Tahoma"/>
            <family val="2"/>
            <charset val="204"/>
          </rPr>
          <t xml:space="preserve">
эл.эн
</t>
        </r>
      </text>
    </comment>
    <comment ref="B12" authorId="1">
      <text>
        <r>
          <rPr>
            <b/>
            <sz val="9"/>
            <color indexed="81"/>
            <rFont val="Tahoma"/>
            <family val="2"/>
            <charset val="204"/>
          </rPr>
          <t>Овчинникова Анастасия Владимировна:</t>
        </r>
        <r>
          <rPr>
            <sz val="9"/>
            <color indexed="81"/>
            <rFont val="Tahoma"/>
            <family val="2"/>
            <charset val="204"/>
          </rPr>
          <t xml:space="preserve">
ТБО, наруж.освещ.,ПЖРЭТ, профдезинфекция, вентиляция
</t>
        </r>
      </text>
    </comment>
    <comment ref="D12" authorId="1">
      <text>
        <r>
          <rPr>
            <b/>
            <sz val="9"/>
            <color indexed="81"/>
            <rFont val="Tahoma"/>
            <family val="2"/>
            <charset val="204"/>
          </rPr>
          <t>Овчинникова Анастасия Владимировна:</t>
        </r>
        <r>
          <rPr>
            <sz val="9"/>
            <color indexed="81"/>
            <rFont val="Tahoma"/>
            <family val="2"/>
            <charset val="204"/>
          </rPr>
          <t xml:space="preserve">
ТО видеонаблюд, ТО сигнализац.
</t>
        </r>
      </text>
    </comment>
    <comment ref="E12" authorId="1">
      <text>
        <r>
          <rPr>
            <b/>
            <sz val="9"/>
            <color indexed="81"/>
            <rFont val="Tahoma"/>
            <family val="2"/>
            <charset val="204"/>
          </rPr>
          <t>Овчинникова Анастасия Владимировна:</t>
        </r>
        <r>
          <rPr>
            <sz val="9"/>
            <color indexed="81"/>
            <rFont val="Tahoma"/>
            <family val="2"/>
            <charset val="204"/>
          </rPr>
          <t xml:space="preserve">
то пожарн.сигн.</t>
        </r>
      </text>
    </comment>
    <comment ref="H12" authorId="1">
      <text>
        <r>
          <rPr>
            <b/>
            <sz val="9"/>
            <color indexed="81"/>
            <rFont val="Tahoma"/>
            <family val="2"/>
            <charset val="204"/>
          </rPr>
          <t>Овчинникова Анастасия Владимировна:</t>
        </r>
        <r>
          <rPr>
            <sz val="9"/>
            <color indexed="81"/>
            <rFont val="Tahoma"/>
            <family val="2"/>
            <charset val="204"/>
          </rPr>
          <t xml:space="preserve">
то пож.сигн.</t>
        </r>
      </text>
    </comment>
    <comment ref="D13" authorId="1">
      <text>
        <r>
          <rPr>
            <b/>
            <sz val="9"/>
            <color indexed="81"/>
            <rFont val="Tahoma"/>
            <family val="2"/>
            <charset val="204"/>
          </rPr>
          <t>Овчинникова Анастасия Владимировна:</t>
        </r>
        <r>
          <rPr>
            <sz val="9"/>
            <color indexed="81"/>
            <rFont val="Tahoma"/>
            <family val="2"/>
            <charset val="204"/>
          </rPr>
          <t xml:space="preserve">
лиц.охр, охрана </t>
        </r>
      </text>
    </comment>
    <comment ref="E13" authorId="1">
      <text>
        <r>
          <rPr>
            <b/>
            <sz val="9"/>
            <color indexed="81"/>
            <rFont val="Tahoma"/>
            <family val="2"/>
            <charset val="204"/>
          </rPr>
          <t>Овчинникова Анастасия Владимировна:</t>
        </r>
        <r>
          <rPr>
            <sz val="9"/>
            <color indexed="81"/>
            <rFont val="Tahoma"/>
            <family val="2"/>
            <charset val="204"/>
          </rPr>
          <t xml:space="preserve">
мониторинг апс</t>
        </r>
      </text>
    </comment>
    <comment ref="B16" authorId="1">
      <text>
        <r>
          <rPr>
            <b/>
            <sz val="9"/>
            <color indexed="81"/>
            <rFont val="Tahoma"/>
            <family val="2"/>
            <charset val="204"/>
          </rPr>
          <t>Овчинникова Анастасия Владимировна:</t>
        </r>
        <r>
          <rPr>
            <sz val="9"/>
            <color indexed="81"/>
            <rFont val="Tahoma"/>
            <family val="2"/>
            <charset val="204"/>
          </rPr>
          <t xml:space="preserve">
(на январь-апрель)</t>
        </r>
      </text>
    </comment>
    <comment ref="H16" authorId="2">
      <text>
        <r>
          <rPr>
            <b/>
            <sz val="9"/>
            <color indexed="81"/>
            <rFont val="Tahoma"/>
            <family val="2"/>
            <charset val="204"/>
          </rPr>
          <t>(род.пл.+обслуж-е+пит.сотр)</t>
        </r>
      </text>
    </comment>
    <comment ref="B29" authorId="1">
      <text>
        <r>
          <rPr>
            <b/>
            <sz val="9"/>
            <color indexed="81"/>
            <rFont val="Tahoma"/>
            <family val="2"/>
            <charset val="204"/>
          </rPr>
          <t>Овчинникова Анастасия Владимировна:</t>
        </r>
        <r>
          <rPr>
            <sz val="9"/>
            <color indexed="81"/>
            <rFont val="Tahoma"/>
            <family val="2"/>
            <charset val="204"/>
          </rPr>
          <t xml:space="preserve">
чистый город</t>
        </r>
      </text>
    </comment>
    <comment ref="H33" authorId="2">
      <text>
        <r>
          <rPr>
            <b/>
            <sz val="9"/>
            <color indexed="81"/>
            <rFont val="Tahoma"/>
            <family val="2"/>
            <charset val="204"/>
          </rPr>
          <t>(род.пл.+обслуж-е+пит.сотр)</t>
        </r>
      </text>
    </comment>
    <comment ref="H50" authorId="2">
      <text>
        <r>
          <rPr>
            <b/>
            <sz val="9"/>
            <color indexed="81"/>
            <rFont val="Tahoma"/>
            <family val="2"/>
            <charset val="204"/>
          </rPr>
          <t>(род.пл.+обслуж-е+пит.сотр)</t>
        </r>
      </text>
    </comment>
  </commentList>
</comments>
</file>

<file path=xl/comments4.xml><?xml version="1.0" encoding="utf-8"?>
<comments xmlns="http://schemas.openxmlformats.org/spreadsheetml/2006/main">
  <authors>
    <author>Елена Владимировна Жилина</author>
    <author>SEREGA</author>
  </authors>
  <commentList>
    <comment ref="A7" authorId="0">
      <text>
        <r>
          <rPr>
            <b/>
            <sz val="9"/>
            <color indexed="81"/>
            <rFont val="Tahoma"/>
            <family val="2"/>
            <charset val="204"/>
          </rPr>
          <t>Елена Владимировна Жилина:</t>
        </r>
        <r>
          <rPr>
            <sz val="9"/>
            <color indexed="81"/>
            <rFont val="Tahoma"/>
            <family val="2"/>
            <charset val="204"/>
          </rPr>
          <t xml:space="preserve">
Все показатели заполняем в разрезе договоров (если разные поставщики услуг, или разные тарифы). </t>
        </r>
      </text>
    </comment>
    <comment ref="D32" authorId="0">
      <text>
        <r>
          <rPr>
            <b/>
            <sz val="9"/>
            <color indexed="81"/>
            <rFont val="Tahoma"/>
            <family val="2"/>
            <charset val="204"/>
          </rPr>
          <t>Елена Владимировна Жилина:</t>
        </r>
        <r>
          <rPr>
            <sz val="9"/>
            <color indexed="81"/>
            <rFont val="Tahoma"/>
            <family val="2"/>
            <charset val="204"/>
          </rPr>
          <t xml:space="preserve">
налоговая база (среднегодовая стоимость им-ва)
</t>
        </r>
      </text>
    </comment>
    <comment ref="G32" authorId="0">
      <text>
        <r>
          <rPr>
            <b/>
            <sz val="9"/>
            <color indexed="81"/>
            <rFont val="Tahoma"/>
            <family val="2"/>
            <charset val="204"/>
          </rPr>
          <t>Елена Владимировна Жилина:</t>
        </r>
        <r>
          <rPr>
            <sz val="9"/>
            <color indexed="81"/>
            <rFont val="Tahoma"/>
            <family val="2"/>
            <charset val="204"/>
          </rPr>
          <t xml:space="preserve">
ставка налога
</t>
        </r>
      </text>
    </comment>
    <comment ref="D33" authorId="0">
      <text>
        <r>
          <rPr>
            <b/>
            <sz val="9"/>
            <color indexed="81"/>
            <rFont val="Tahoma"/>
            <family val="2"/>
            <charset val="204"/>
          </rPr>
          <t>Елена Владимировна Жилина:</t>
        </r>
        <r>
          <rPr>
            <sz val="9"/>
            <color indexed="81"/>
            <rFont val="Tahoma"/>
            <family val="2"/>
            <charset val="204"/>
          </rPr>
          <t xml:space="preserve">
налоговая база (среднегодовая стоимость им-ва)
</t>
        </r>
      </text>
    </comment>
    <comment ref="G33" authorId="0">
      <text>
        <r>
          <rPr>
            <b/>
            <sz val="9"/>
            <color indexed="81"/>
            <rFont val="Tahoma"/>
            <family val="2"/>
            <charset val="204"/>
          </rPr>
          <t>Елена Владимировна Жилина:</t>
        </r>
        <r>
          <rPr>
            <sz val="9"/>
            <color indexed="81"/>
            <rFont val="Tahoma"/>
            <family val="2"/>
            <charset val="204"/>
          </rPr>
          <t xml:space="preserve">
ставка налога
</t>
        </r>
      </text>
    </comment>
    <comment ref="B34" authorId="0">
      <text>
        <r>
          <rPr>
            <b/>
            <sz val="9"/>
            <color indexed="81"/>
            <rFont val="Tahoma"/>
            <family val="2"/>
            <charset val="204"/>
          </rPr>
          <t>Елена Владимировна Жилина:</t>
        </r>
        <r>
          <rPr>
            <sz val="9"/>
            <color indexed="81"/>
            <rFont val="Tahoma"/>
            <family val="2"/>
            <charset val="204"/>
          </rPr>
          <t xml:space="preserve">
расходы указываются отдельно по каждому участку</t>
        </r>
      </text>
    </comment>
    <comment ref="G35" authorId="0">
      <text>
        <r>
          <rPr>
            <b/>
            <sz val="9"/>
            <color indexed="81"/>
            <rFont val="Tahoma"/>
            <family val="2"/>
            <charset val="204"/>
          </rPr>
          <t>Елена Владимировна Жилина:</t>
        </r>
        <r>
          <rPr>
            <sz val="9"/>
            <color indexed="81"/>
            <rFont val="Tahoma"/>
            <family val="2"/>
            <charset val="204"/>
          </rPr>
          <t xml:space="preserve">
площадь земельного участка</t>
        </r>
      </text>
    </comment>
    <comment ref="I35" authorId="0">
      <text>
        <r>
          <rPr>
            <b/>
            <sz val="9"/>
            <color indexed="81"/>
            <rFont val="Tahoma"/>
            <family val="2"/>
            <charset val="204"/>
          </rPr>
          <t>Елена Владимировна Жилина:</t>
        </r>
        <r>
          <rPr>
            <sz val="9"/>
            <color indexed="81"/>
            <rFont val="Tahoma"/>
            <family val="2"/>
            <charset val="204"/>
          </rPr>
          <t xml:space="preserve">
кадастровая ставка
</t>
        </r>
      </text>
    </comment>
    <comment ref="D36" authorId="0">
      <text>
        <r>
          <rPr>
            <b/>
            <sz val="9"/>
            <color indexed="81"/>
            <rFont val="Tahoma"/>
            <family val="2"/>
            <charset val="204"/>
          </rPr>
          <t>Елена Владимировна Жилина:</t>
        </r>
        <r>
          <rPr>
            <sz val="9"/>
            <color indexed="81"/>
            <rFont val="Tahoma"/>
            <family val="2"/>
            <charset val="204"/>
          </rPr>
          <t xml:space="preserve">
Кадастровая стоимость земельного участка</t>
        </r>
      </text>
    </comment>
    <comment ref="G36" authorId="0">
      <text>
        <r>
          <rPr>
            <b/>
            <sz val="9"/>
            <color indexed="81"/>
            <rFont val="Tahoma"/>
            <family val="2"/>
            <charset val="204"/>
          </rPr>
          <t>Елена Владимировна Жилина:</t>
        </r>
        <r>
          <rPr>
            <sz val="9"/>
            <color indexed="81"/>
            <rFont val="Tahoma"/>
            <family val="2"/>
            <charset val="204"/>
          </rPr>
          <t xml:space="preserve">
ставка налога
</t>
        </r>
      </text>
    </comment>
    <comment ref="G37" authorId="0">
      <text>
        <r>
          <rPr>
            <b/>
            <sz val="9"/>
            <color indexed="81"/>
            <rFont val="Tahoma"/>
            <family val="2"/>
            <charset val="204"/>
          </rPr>
          <t>Елена Владимировна Жилина:</t>
        </r>
        <r>
          <rPr>
            <sz val="9"/>
            <color indexed="81"/>
            <rFont val="Tahoma"/>
            <family val="2"/>
            <charset val="204"/>
          </rPr>
          <t xml:space="preserve">
площадь земельного участка</t>
        </r>
      </text>
    </comment>
    <comment ref="I37" authorId="0">
      <text>
        <r>
          <rPr>
            <b/>
            <sz val="9"/>
            <color indexed="81"/>
            <rFont val="Tahoma"/>
            <family val="2"/>
            <charset val="204"/>
          </rPr>
          <t>Елена Владимировна Жилина:</t>
        </r>
        <r>
          <rPr>
            <sz val="9"/>
            <color indexed="81"/>
            <rFont val="Tahoma"/>
            <family val="2"/>
            <charset val="204"/>
          </rPr>
          <t xml:space="preserve">
кадастровая ставка
</t>
        </r>
      </text>
    </comment>
    <comment ref="D38" authorId="0">
      <text>
        <r>
          <rPr>
            <b/>
            <sz val="9"/>
            <color indexed="81"/>
            <rFont val="Tahoma"/>
            <family val="2"/>
            <charset val="204"/>
          </rPr>
          <t>Елена Владимировна Жилина:</t>
        </r>
        <r>
          <rPr>
            <sz val="9"/>
            <color indexed="81"/>
            <rFont val="Tahoma"/>
            <family val="2"/>
            <charset val="204"/>
          </rPr>
          <t xml:space="preserve">
Кадастровая стоимость земельного участка</t>
        </r>
      </text>
    </comment>
    <comment ref="G38" authorId="0">
      <text>
        <r>
          <rPr>
            <b/>
            <sz val="9"/>
            <color indexed="81"/>
            <rFont val="Tahoma"/>
            <family val="2"/>
            <charset val="204"/>
          </rPr>
          <t>Елена Владимировна Жилина:</t>
        </r>
        <r>
          <rPr>
            <sz val="9"/>
            <color indexed="81"/>
            <rFont val="Tahoma"/>
            <family val="2"/>
            <charset val="204"/>
          </rPr>
          <t xml:space="preserve">
ставка налога
</t>
        </r>
      </text>
    </comment>
    <comment ref="G39" authorId="0">
      <text>
        <r>
          <rPr>
            <b/>
            <sz val="9"/>
            <color indexed="81"/>
            <rFont val="Tahoma"/>
            <family val="2"/>
            <charset val="204"/>
          </rPr>
          <t>Елена Владимировна Жилина:</t>
        </r>
        <r>
          <rPr>
            <sz val="9"/>
            <color indexed="81"/>
            <rFont val="Tahoma"/>
            <family val="2"/>
            <charset val="204"/>
          </rPr>
          <t xml:space="preserve">
площадь земельного участка</t>
        </r>
      </text>
    </comment>
    <comment ref="I39" authorId="0">
      <text>
        <r>
          <rPr>
            <b/>
            <sz val="9"/>
            <color indexed="81"/>
            <rFont val="Tahoma"/>
            <family val="2"/>
            <charset val="204"/>
          </rPr>
          <t>Елена Владимировна Жилина:</t>
        </r>
        <r>
          <rPr>
            <sz val="9"/>
            <color indexed="81"/>
            <rFont val="Tahoma"/>
            <family val="2"/>
            <charset val="204"/>
          </rPr>
          <t xml:space="preserve">
кадастровая ставка
</t>
        </r>
      </text>
    </comment>
    <comment ref="D40" authorId="0">
      <text>
        <r>
          <rPr>
            <b/>
            <sz val="9"/>
            <color indexed="81"/>
            <rFont val="Tahoma"/>
            <family val="2"/>
            <charset val="204"/>
          </rPr>
          <t>Елена Владимировна Жилина:</t>
        </r>
        <r>
          <rPr>
            <sz val="9"/>
            <color indexed="81"/>
            <rFont val="Tahoma"/>
            <family val="2"/>
            <charset val="204"/>
          </rPr>
          <t xml:space="preserve">
Кадастровая стоимость земельного участка</t>
        </r>
      </text>
    </comment>
    <comment ref="G40" authorId="0">
      <text>
        <r>
          <rPr>
            <b/>
            <sz val="9"/>
            <color indexed="81"/>
            <rFont val="Tahoma"/>
            <family val="2"/>
            <charset val="204"/>
          </rPr>
          <t>Елена Владимировна Жилина:</t>
        </r>
        <r>
          <rPr>
            <sz val="9"/>
            <color indexed="81"/>
            <rFont val="Tahoma"/>
            <family val="2"/>
            <charset val="204"/>
          </rPr>
          <t xml:space="preserve">
ставка налога
</t>
        </r>
      </text>
    </comment>
    <comment ref="B46" authorId="0">
      <text>
        <r>
          <rPr>
            <b/>
            <sz val="9"/>
            <color indexed="81"/>
            <rFont val="Tahoma"/>
            <family val="2"/>
            <charset val="204"/>
          </rPr>
          <t>Елена Владимировна Жилина:</t>
        </r>
        <r>
          <rPr>
            <sz val="9"/>
            <color indexed="81"/>
            <rFont val="Tahoma"/>
            <family val="2"/>
            <charset val="204"/>
          </rPr>
          <t xml:space="preserve">
расходы указываются отдельно по каждому ТС
</t>
        </r>
      </text>
    </comment>
    <comment ref="H47" authorId="0">
      <text>
        <r>
          <rPr>
            <b/>
            <sz val="9"/>
            <color indexed="81"/>
            <rFont val="Tahoma"/>
            <family val="2"/>
            <charset val="204"/>
          </rPr>
          <t>Елена Владимировна Жилина:</t>
        </r>
        <r>
          <rPr>
            <sz val="9"/>
            <color indexed="81"/>
            <rFont val="Tahoma"/>
            <family val="2"/>
            <charset val="204"/>
          </rPr>
          <t xml:space="preserve">
указывается, если ТС зарегестрировано в текущем году, т.к. если ТС на балансе уч-я не весь год, это учитывается при рассчет налога</t>
        </r>
      </text>
    </comment>
    <comment ref="I47" authorId="0">
      <text>
        <r>
          <rPr>
            <b/>
            <sz val="9"/>
            <color indexed="81"/>
            <rFont val="Tahoma"/>
            <family val="2"/>
            <charset val="204"/>
          </rPr>
          <t>Елена Владимировна Жилина:</t>
        </r>
        <r>
          <rPr>
            <sz val="9"/>
            <color indexed="81"/>
            <rFont val="Tahoma"/>
            <family val="2"/>
            <charset val="204"/>
          </rPr>
          <t xml:space="preserve">
указывается кол-во полных месяцев
</t>
        </r>
      </text>
    </comment>
    <comment ref="G48" authorId="0">
      <text>
        <r>
          <rPr>
            <b/>
            <sz val="9"/>
            <color indexed="81"/>
            <rFont val="Tahoma"/>
            <family val="2"/>
            <charset val="204"/>
          </rPr>
          <t>Елена Владимировна Жилина:</t>
        </r>
        <r>
          <rPr>
            <sz val="9"/>
            <color indexed="81"/>
            <rFont val="Tahoma"/>
            <family val="2"/>
            <charset val="204"/>
          </rPr>
          <t xml:space="preserve">
ставка налога
</t>
        </r>
      </text>
    </comment>
    <comment ref="H49" authorId="0">
      <text>
        <r>
          <rPr>
            <b/>
            <sz val="9"/>
            <color indexed="81"/>
            <rFont val="Tahoma"/>
            <family val="2"/>
            <charset val="204"/>
          </rPr>
          <t>Елена Владимировна Жилина:</t>
        </r>
        <r>
          <rPr>
            <sz val="9"/>
            <color indexed="81"/>
            <rFont val="Tahoma"/>
            <family val="2"/>
            <charset val="204"/>
          </rPr>
          <t xml:space="preserve">
указывается, если ТС зарегестрировано в текущем году, т.к. если ТС на балансе уч-я не весь год, это учитывается при рассчет налога</t>
        </r>
      </text>
    </comment>
    <comment ref="I49" authorId="0">
      <text>
        <r>
          <rPr>
            <b/>
            <sz val="9"/>
            <color indexed="81"/>
            <rFont val="Tahoma"/>
            <family val="2"/>
            <charset val="204"/>
          </rPr>
          <t>Елена Владимировна Жилина:</t>
        </r>
        <r>
          <rPr>
            <sz val="9"/>
            <color indexed="81"/>
            <rFont val="Tahoma"/>
            <family val="2"/>
            <charset val="204"/>
          </rPr>
          <t xml:space="preserve">
указывается кол-во полных месяцев
</t>
        </r>
      </text>
    </comment>
    <comment ref="G50" authorId="0">
      <text>
        <r>
          <rPr>
            <b/>
            <sz val="9"/>
            <color indexed="81"/>
            <rFont val="Tahoma"/>
            <family val="2"/>
            <charset val="204"/>
          </rPr>
          <t>Елена Владимировна Жилина:</t>
        </r>
        <r>
          <rPr>
            <sz val="9"/>
            <color indexed="81"/>
            <rFont val="Tahoma"/>
            <family val="2"/>
            <charset val="204"/>
          </rPr>
          <t xml:space="preserve">
ставка налога
</t>
        </r>
      </text>
    </comment>
    <comment ref="H51" authorId="0">
      <text>
        <r>
          <rPr>
            <b/>
            <sz val="9"/>
            <color indexed="81"/>
            <rFont val="Tahoma"/>
            <family val="2"/>
            <charset val="204"/>
          </rPr>
          <t>Елена Владимировна Жилина:</t>
        </r>
        <r>
          <rPr>
            <sz val="9"/>
            <color indexed="81"/>
            <rFont val="Tahoma"/>
            <family val="2"/>
            <charset val="204"/>
          </rPr>
          <t xml:space="preserve">
указывается, если ТС зарегестрировано в текущем году, т.к. если ТС на балансе уч-я не весь год, это учитывается при рассчет налога</t>
        </r>
      </text>
    </comment>
    <comment ref="I51" authorId="0">
      <text>
        <r>
          <rPr>
            <b/>
            <sz val="9"/>
            <color indexed="81"/>
            <rFont val="Tahoma"/>
            <family val="2"/>
            <charset val="204"/>
          </rPr>
          <t>Елена Владимировна Жилина:</t>
        </r>
        <r>
          <rPr>
            <sz val="9"/>
            <color indexed="81"/>
            <rFont val="Tahoma"/>
            <family val="2"/>
            <charset val="204"/>
          </rPr>
          <t xml:space="preserve">
указывается кол-во полных месяцев
</t>
        </r>
      </text>
    </comment>
    <comment ref="G52" authorId="0">
      <text>
        <r>
          <rPr>
            <b/>
            <sz val="9"/>
            <color indexed="81"/>
            <rFont val="Tahoma"/>
            <family val="2"/>
            <charset val="204"/>
          </rPr>
          <t>Елена Владимировна Жилина:</t>
        </r>
        <r>
          <rPr>
            <sz val="9"/>
            <color indexed="81"/>
            <rFont val="Tahoma"/>
            <family val="2"/>
            <charset val="204"/>
          </rPr>
          <t xml:space="preserve">
ставка налога
</t>
        </r>
      </text>
    </comment>
    <comment ref="H53" authorId="0">
      <text>
        <r>
          <rPr>
            <b/>
            <sz val="9"/>
            <color indexed="81"/>
            <rFont val="Tahoma"/>
            <family val="2"/>
            <charset val="204"/>
          </rPr>
          <t>Елена Владимировна Жилина:</t>
        </r>
        <r>
          <rPr>
            <sz val="9"/>
            <color indexed="81"/>
            <rFont val="Tahoma"/>
            <family val="2"/>
            <charset val="204"/>
          </rPr>
          <t xml:space="preserve">
указывается, если ТС зарегестрировано в текущем году, т.к. если ТС на балансе уч-я не весь год, это учитывается при рассчет налога</t>
        </r>
      </text>
    </comment>
    <comment ref="I53" authorId="0">
      <text>
        <r>
          <rPr>
            <b/>
            <sz val="9"/>
            <color indexed="81"/>
            <rFont val="Tahoma"/>
            <family val="2"/>
            <charset val="204"/>
          </rPr>
          <t>Елена Владимировна Жилина:</t>
        </r>
        <r>
          <rPr>
            <sz val="9"/>
            <color indexed="81"/>
            <rFont val="Tahoma"/>
            <family val="2"/>
            <charset val="204"/>
          </rPr>
          <t xml:space="preserve">
указывается кол-во полных месяцев
</t>
        </r>
      </text>
    </comment>
    <comment ref="G54" authorId="0">
      <text>
        <r>
          <rPr>
            <b/>
            <sz val="9"/>
            <color indexed="81"/>
            <rFont val="Tahoma"/>
            <family val="2"/>
            <charset val="204"/>
          </rPr>
          <t>Елена Владимировна Жилина:</t>
        </r>
        <r>
          <rPr>
            <sz val="9"/>
            <color indexed="81"/>
            <rFont val="Tahoma"/>
            <family val="2"/>
            <charset val="204"/>
          </rPr>
          <t xml:space="preserve">
ставка налога
</t>
        </r>
      </text>
    </comment>
    <comment ref="H55" authorId="0">
      <text>
        <r>
          <rPr>
            <b/>
            <sz val="9"/>
            <color indexed="81"/>
            <rFont val="Tahoma"/>
            <family val="2"/>
            <charset val="204"/>
          </rPr>
          <t>Елена Владимировна Жилина:</t>
        </r>
        <r>
          <rPr>
            <sz val="9"/>
            <color indexed="81"/>
            <rFont val="Tahoma"/>
            <family val="2"/>
            <charset val="204"/>
          </rPr>
          <t xml:space="preserve">
указывается, если ТС зарегестрировано в текущем году, т.к. если ТС на балансе уч-я не весь год, это учитывается при рассчет налога</t>
        </r>
      </text>
    </comment>
    <comment ref="I55" authorId="0">
      <text>
        <r>
          <rPr>
            <b/>
            <sz val="9"/>
            <color indexed="81"/>
            <rFont val="Tahoma"/>
            <family val="2"/>
            <charset val="204"/>
          </rPr>
          <t>Елена Владимировна Жилина:</t>
        </r>
        <r>
          <rPr>
            <sz val="9"/>
            <color indexed="81"/>
            <rFont val="Tahoma"/>
            <family val="2"/>
            <charset val="204"/>
          </rPr>
          <t xml:space="preserve">
указывается кол-во полных месяцев
</t>
        </r>
      </text>
    </comment>
    <comment ref="G56" authorId="0">
      <text>
        <r>
          <rPr>
            <b/>
            <sz val="9"/>
            <color indexed="81"/>
            <rFont val="Tahoma"/>
            <family val="2"/>
            <charset val="204"/>
          </rPr>
          <t>Елена Владимировна Жилина:</t>
        </r>
        <r>
          <rPr>
            <sz val="9"/>
            <color indexed="81"/>
            <rFont val="Tahoma"/>
            <family val="2"/>
            <charset val="204"/>
          </rPr>
          <t xml:space="preserve">
ставка налога
</t>
        </r>
      </text>
    </comment>
    <comment ref="C60" authorId="1">
      <text>
        <r>
          <rPr>
            <sz val="9"/>
            <color indexed="81"/>
            <rFont val="Tahoma"/>
            <family val="2"/>
            <charset val="204"/>
          </rPr>
          <t xml:space="preserve">ПД м.куб.
</t>
        </r>
      </text>
    </comment>
    <comment ref="D60" authorId="1">
      <text>
        <r>
          <rPr>
            <b/>
            <sz val="9"/>
            <color indexed="81"/>
            <rFont val="Tahoma"/>
            <family val="2"/>
            <charset val="204"/>
          </rPr>
          <t xml:space="preserve">ПД гк
</t>
        </r>
      </text>
    </comment>
    <comment ref="E60" authorId="1">
      <text>
        <r>
          <rPr>
            <b/>
            <sz val="9"/>
            <color indexed="81"/>
            <rFont val="Tahoma"/>
            <family val="2"/>
            <charset val="204"/>
          </rPr>
          <t xml:space="preserve">МЗ
</t>
        </r>
        <r>
          <rPr>
            <sz val="9"/>
            <color indexed="81"/>
            <rFont val="Tahoma"/>
            <family val="2"/>
            <charset val="204"/>
          </rPr>
          <t xml:space="preserve">
</t>
        </r>
      </text>
    </comment>
    <comment ref="C65" authorId="1">
      <text>
        <r>
          <rPr>
            <sz val="9"/>
            <color indexed="81"/>
            <rFont val="Tahoma"/>
            <family val="2"/>
            <charset val="204"/>
          </rPr>
          <t xml:space="preserve">ПД м.куб.
</t>
        </r>
      </text>
    </comment>
    <comment ref="D65" authorId="1">
      <text>
        <r>
          <rPr>
            <b/>
            <sz val="9"/>
            <color indexed="81"/>
            <rFont val="Tahoma"/>
            <family val="2"/>
            <charset val="204"/>
          </rPr>
          <t xml:space="preserve">ПД
</t>
        </r>
      </text>
    </comment>
    <comment ref="E65" authorId="1">
      <text>
        <r>
          <rPr>
            <b/>
            <sz val="9"/>
            <color indexed="81"/>
            <rFont val="Tahoma"/>
            <family val="2"/>
            <charset val="204"/>
          </rPr>
          <t xml:space="preserve">МЗ
</t>
        </r>
        <r>
          <rPr>
            <sz val="9"/>
            <color indexed="81"/>
            <rFont val="Tahoma"/>
            <family val="2"/>
            <charset val="204"/>
          </rPr>
          <t xml:space="preserve">
</t>
        </r>
      </text>
    </comment>
    <comment ref="C70" authorId="1">
      <text>
        <r>
          <rPr>
            <sz val="9"/>
            <color indexed="81"/>
            <rFont val="Tahoma"/>
            <family val="2"/>
            <charset val="204"/>
          </rPr>
          <t xml:space="preserve">ПД м.куб.
</t>
        </r>
      </text>
    </comment>
    <comment ref="D70" authorId="1">
      <text>
        <r>
          <rPr>
            <b/>
            <sz val="9"/>
            <color indexed="81"/>
            <rFont val="Tahoma"/>
            <family val="2"/>
            <charset val="204"/>
          </rPr>
          <t xml:space="preserve">ПД
</t>
        </r>
      </text>
    </comment>
    <comment ref="E70" authorId="1">
      <text>
        <r>
          <rPr>
            <b/>
            <sz val="9"/>
            <color indexed="81"/>
            <rFont val="Tahoma"/>
            <family val="2"/>
            <charset val="204"/>
          </rPr>
          <t xml:space="preserve">МЗ
</t>
        </r>
        <r>
          <rPr>
            <sz val="9"/>
            <color indexed="81"/>
            <rFont val="Tahoma"/>
            <family val="2"/>
            <charset val="204"/>
          </rPr>
          <t xml:space="preserve">
</t>
        </r>
      </text>
    </comment>
    <comment ref="C75" authorId="1">
      <text>
        <r>
          <rPr>
            <sz val="9"/>
            <color indexed="81"/>
            <rFont val="Tahoma"/>
            <family val="2"/>
            <charset val="204"/>
          </rPr>
          <t xml:space="preserve">ПД м.куб.
</t>
        </r>
      </text>
    </comment>
    <comment ref="D75" authorId="1">
      <text>
        <r>
          <rPr>
            <b/>
            <sz val="9"/>
            <color indexed="81"/>
            <rFont val="Tahoma"/>
            <family val="2"/>
            <charset val="204"/>
          </rPr>
          <t xml:space="preserve">ПД
</t>
        </r>
      </text>
    </comment>
    <comment ref="E75" authorId="1">
      <text>
        <r>
          <rPr>
            <b/>
            <sz val="9"/>
            <color indexed="81"/>
            <rFont val="Tahoma"/>
            <family val="2"/>
            <charset val="204"/>
          </rPr>
          <t xml:space="preserve">МЗ
</t>
        </r>
        <r>
          <rPr>
            <sz val="9"/>
            <color indexed="81"/>
            <rFont val="Tahoma"/>
            <family val="2"/>
            <charset val="204"/>
          </rPr>
          <t xml:space="preserve">
</t>
        </r>
      </text>
    </comment>
    <comment ref="C81" authorId="1">
      <text>
        <r>
          <rPr>
            <b/>
            <sz val="9"/>
            <color indexed="81"/>
            <rFont val="Tahoma"/>
            <family val="2"/>
            <charset val="204"/>
          </rPr>
          <t xml:space="preserve">ПД
</t>
        </r>
      </text>
    </comment>
    <comment ref="D81" authorId="1">
      <text>
        <r>
          <rPr>
            <b/>
            <sz val="9"/>
            <color indexed="81"/>
            <rFont val="Tahoma"/>
            <family val="2"/>
            <charset val="204"/>
          </rPr>
          <t xml:space="preserve">МЗ
</t>
        </r>
        <r>
          <rPr>
            <sz val="9"/>
            <color indexed="81"/>
            <rFont val="Tahoma"/>
            <family val="2"/>
            <charset val="204"/>
          </rPr>
          <t xml:space="preserve">
</t>
        </r>
      </text>
    </comment>
    <comment ref="C84" authorId="1">
      <text>
        <r>
          <rPr>
            <b/>
            <sz val="9"/>
            <color indexed="81"/>
            <rFont val="Tahoma"/>
            <family val="2"/>
            <charset val="204"/>
          </rPr>
          <t xml:space="preserve">ПД
</t>
        </r>
      </text>
    </comment>
    <comment ref="D84" authorId="1">
      <text>
        <r>
          <rPr>
            <b/>
            <sz val="9"/>
            <color indexed="81"/>
            <rFont val="Tahoma"/>
            <family val="2"/>
            <charset val="204"/>
          </rPr>
          <t xml:space="preserve">МЗ
</t>
        </r>
        <r>
          <rPr>
            <sz val="9"/>
            <color indexed="81"/>
            <rFont val="Tahoma"/>
            <family val="2"/>
            <charset val="204"/>
          </rPr>
          <t xml:space="preserve">
</t>
        </r>
      </text>
    </comment>
    <comment ref="C87" authorId="1">
      <text>
        <r>
          <rPr>
            <b/>
            <sz val="9"/>
            <color indexed="81"/>
            <rFont val="Tahoma"/>
            <family val="2"/>
            <charset val="204"/>
          </rPr>
          <t xml:space="preserve">ПД
</t>
        </r>
      </text>
    </comment>
    <comment ref="D87" authorId="1">
      <text>
        <r>
          <rPr>
            <b/>
            <sz val="9"/>
            <color indexed="81"/>
            <rFont val="Tahoma"/>
            <family val="2"/>
            <charset val="204"/>
          </rPr>
          <t xml:space="preserve">МЗ
</t>
        </r>
        <r>
          <rPr>
            <sz val="9"/>
            <color indexed="81"/>
            <rFont val="Tahoma"/>
            <family val="2"/>
            <charset val="204"/>
          </rPr>
          <t xml:space="preserve">
</t>
        </r>
      </text>
    </comment>
    <comment ref="C90" authorId="1">
      <text>
        <r>
          <rPr>
            <b/>
            <sz val="9"/>
            <color indexed="81"/>
            <rFont val="Tahoma"/>
            <family val="2"/>
            <charset val="204"/>
          </rPr>
          <t xml:space="preserve">ПД
</t>
        </r>
      </text>
    </comment>
    <comment ref="D90" authorId="1">
      <text>
        <r>
          <rPr>
            <b/>
            <sz val="9"/>
            <color indexed="81"/>
            <rFont val="Tahoma"/>
            <family val="2"/>
            <charset val="204"/>
          </rPr>
          <t xml:space="preserve">МЗ
</t>
        </r>
        <r>
          <rPr>
            <sz val="9"/>
            <color indexed="81"/>
            <rFont val="Tahoma"/>
            <family val="2"/>
            <charset val="204"/>
          </rPr>
          <t xml:space="preserve">
</t>
        </r>
      </text>
    </comment>
    <comment ref="C142" authorId="1">
      <text>
        <r>
          <rPr>
            <sz val="9"/>
            <color indexed="81"/>
            <rFont val="Tahoma"/>
            <family val="2"/>
            <charset val="204"/>
          </rPr>
          <t xml:space="preserve">ПД м.куб.
</t>
        </r>
      </text>
    </comment>
    <comment ref="D142" authorId="1">
      <text>
        <r>
          <rPr>
            <b/>
            <sz val="9"/>
            <color indexed="81"/>
            <rFont val="Tahoma"/>
            <family val="2"/>
            <charset val="204"/>
          </rPr>
          <t xml:space="preserve">ПД гк
</t>
        </r>
      </text>
    </comment>
    <comment ref="E142" authorId="1">
      <text>
        <r>
          <rPr>
            <b/>
            <sz val="9"/>
            <color indexed="81"/>
            <rFont val="Tahoma"/>
            <family val="2"/>
            <charset val="204"/>
          </rPr>
          <t xml:space="preserve">МЗ
</t>
        </r>
        <r>
          <rPr>
            <sz val="9"/>
            <color indexed="81"/>
            <rFont val="Tahoma"/>
            <family val="2"/>
            <charset val="204"/>
          </rPr>
          <t xml:space="preserve">
</t>
        </r>
      </text>
    </comment>
    <comment ref="C146" authorId="1">
      <text>
        <r>
          <rPr>
            <sz val="9"/>
            <color indexed="81"/>
            <rFont val="Tahoma"/>
            <family val="2"/>
            <charset val="204"/>
          </rPr>
          <t xml:space="preserve">ПД м.куб.
</t>
        </r>
      </text>
    </comment>
    <comment ref="D146" authorId="1">
      <text>
        <r>
          <rPr>
            <b/>
            <sz val="9"/>
            <color indexed="81"/>
            <rFont val="Tahoma"/>
            <family val="2"/>
            <charset val="204"/>
          </rPr>
          <t xml:space="preserve">ПД
</t>
        </r>
      </text>
    </comment>
    <comment ref="E146" authorId="1">
      <text>
        <r>
          <rPr>
            <b/>
            <sz val="9"/>
            <color indexed="81"/>
            <rFont val="Tahoma"/>
            <family val="2"/>
            <charset val="204"/>
          </rPr>
          <t xml:space="preserve">МЗ
</t>
        </r>
        <r>
          <rPr>
            <sz val="9"/>
            <color indexed="81"/>
            <rFont val="Tahoma"/>
            <family val="2"/>
            <charset val="204"/>
          </rPr>
          <t xml:space="preserve">
</t>
        </r>
      </text>
    </comment>
    <comment ref="C150" authorId="1">
      <text>
        <r>
          <rPr>
            <sz val="9"/>
            <color indexed="81"/>
            <rFont val="Tahoma"/>
            <family val="2"/>
            <charset val="204"/>
          </rPr>
          <t xml:space="preserve">ПД м.куб.
</t>
        </r>
      </text>
    </comment>
    <comment ref="D150" authorId="1">
      <text>
        <r>
          <rPr>
            <b/>
            <sz val="9"/>
            <color indexed="81"/>
            <rFont val="Tahoma"/>
            <family val="2"/>
            <charset val="204"/>
          </rPr>
          <t xml:space="preserve">ПД
</t>
        </r>
      </text>
    </comment>
    <comment ref="E150" authorId="1">
      <text>
        <r>
          <rPr>
            <b/>
            <sz val="9"/>
            <color indexed="81"/>
            <rFont val="Tahoma"/>
            <family val="2"/>
            <charset val="204"/>
          </rPr>
          <t xml:space="preserve">МЗ
</t>
        </r>
        <r>
          <rPr>
            <sz val="9"/>
            <color indexed="81"/>
            <rFont val="Tahoma"/>
            <family val="2"/>
            <charset val="204"/>
          </rPr>
          <t xml:space="preserve">
</t>
        </r>
      </text>
    </comment>
    <comment ref="C154" authorId="1">
      <text>
        <r>
          <rPr>
            <sz val="9"/>
            <color indexed="81"/>
            <rFont val="Tahoma"/>
            <family val="2"/>
            <charset val="204"/>
          </rPr>
          <t xml:space="preserve">ПД м.куб.
</t>
        </r>
      </text>
    </comment>
    <comment ref="D154" authorId="1">
      <text>
        <r>
          <rPr>
            <b/>
            <sz val="9"/>
            <color indexed="81"/>
            <rFont val="Tahoma"/>
            <family val="2"/>
            <charset val="204"/>
          </rPr>
          <t xml:space="preserve">ПД
</t>
        </r>
      </text>
    </comment>
    <comment ref="E154" authorId="1">
      <text>
        <r>
          <rPr>
            <b/>
            <sz val="9"/>
            <color indexed="81"/>
            <rFont val="Tahoma"/>
            <family val="2"/>
            <charset val="204"/>
          </rPr>
          <t xml:space="preserve">МЗ
</t>
        </r>
        <r>
          <rPr>
            <sz val="9"/>
            <color indexed="81"/>
            <rFont val="Tahoma"/>
            <family val="2"/>
            <charset val="204"/>
          </rPr>
          <t xml:space="preserve">
</t>
        </r>
      </text>
    </comment>
    <comment ref="C160" authorId="1">
      <text>
        <r>
          <rPr>
            <b/>
            <sz val="9"/>
            <color indexed="81"/>
            <rFont val="Tahoma"/>
            <family val="2"/>
            <charset val="204"/>
          </rPr>
          <t xml:space="preserve">ПД
</t>
        </r>
      </text>
    </comment>
    <comment ref="D160" authorId="1">
      <text>
        <r>
          <rPr>
            <b/>
            <sz val="9"/>
            <color indexed="81"/>
            <rFont val="Tahoma"/>
            <family val="2"/>
            <charset val="204"/>
          </rPr>
          <t xml:space="preserve">МЗ
</t>
        </r>
        <r>
          <rPr>
            <sz val="9"/>
            <color indexed="81"/>
            <rFont val="Tahoma"/>
            <family val="2"/>
            <charset val="204"/>
          </rPr>
          <t xml:space="preserve">
</t>
        </r>
      </text>
    </comment>
    <comment ref="C165" authorId="1">
      <text>
        <r>
          <rPr>
            <b/>
            <sz val="9"/>
            <color indexed="81"/>
            <rFont val="Tahoma"/>
            <family val="2"/>
            <charset val="204"/>
          </rPr>
          <t xml:space="preserve">ПД
</t>
        </r>
      </text>
    </comment>
    <comment ref="D165" authorId="1">
      <text>
        <r>
          <rPr>
            <b/>
            <sz val="9"/>
            <color indexed="81"/>
            <rFont val="Tahoma"/>
            <family val="2"/>
            <charset val="204"/>
          </rPr>
          <t xml:space="preserve">МЗ
</t>
        </r>
        <r>
          <rPr>
            <sz val="9"/>
            <color indexed="81"/>
            <rFont val="Tahoma"/>
            <family val="2"/>
            <charset val="204"/>
          </rPr>
          <t xml:space="preserve">
</t>
        </r>
      </text>
    </comment>
    <comment ref="C170" authorId="1">
      <text>
        <r>
          <rPr>
            <b/>
            <sz val="9"/>
            <color indexed="81"/>
            <rFont val="Tahoma"/>
            <family val="2"/>
            <charset val="204"/>
          </rPr>
          <t xml:space="preserve">ПД
</t>
        </r>
      </text>
    </comment>
    <comment ref="D170" authorId="1">
      <text>
        <r>
          <rPr>
            <b/>
            <sz val="9"/>
            <color indexed="81"/>
            <rFont val="Tahoma"/>
            <family val="2"/>
            <charset val="204"/>
          </rPr>
          <t xml:space="preserve">МЗ
</t>
        </r>
        <r>
          <rPr>
            <sz val="9"/>
            <color indexed="81"/>
            <rFont val="Tahoma"/>
            <family val="2"/>
            <charset val="204"/>
          </rPr>
          <t xml:space="preserve">
</t>
        </r>
      </text>
    </comment>
    <comment ref="C175" authorId="1">
      <text>
        <r>
          <rPr>
            <b/>
            <sz val="9"/>
            <color indexed="81"/>
            <rFont val="Tahoma"/>
            <family val="2"/>
            <charset val="204"/>
          </rPr>
          <t xml:space="preserve">ПД
</t>
        </r>
      </text>
    </comment>
    <comment ref="D175" authorId="1">
      <text>
        <r>
          <rPr>
            <b/>
            <sz val="9"/>
            <color indexed="81"/>
            <rFont val="Tahoma"/>
            <family val="2"/>
            <charset val="204"/>
          </rPr>
          <t xml:space="preserve">МЗ
</t>
        </r>
        <r>
          <rPr>
            <sz val="9"/>
            <color indexed="81"/>
            <rFont val="Tahoma"/>
            <family val="2"/>
            <charset val="204"/>
          </rPr>
          <t xml:space="preserve">
</t>
        </r>
      </text>
    </comment>
    <comment ref="C181" authorId="1">
      <text>
        <r>
          <rPr>
            <b/>
            <sz val="9"/>
            <color indexed="81"/>
            <rFont val="Tahoma"/>
            <family val="2"/>
            <charset val="204"/>
          </rPr>
          <t xml:space="preserve">ПД
</t>
        </r>
      </text>
    </comment>
    <comment ref="D181" authorId="1">
      <text>
        <r>
          <rPr>
            <b/>
            <sz val="9"/>
            <color indexed="81"/>
            <rFont val="Tahoma"/>
            <family val="2"/>
            <charset val="204"/>
          </rPr>
          <t xml:space="preserve">МЗ
</t>
        </r>
        <r>
          <rPr>
            <sz val="9"/>
            <color indexed="81"/>
            <rFont val="Tahoma"/>
            <family val="2"/>
            <charset val="204"/>
          </rPr>
          <t xml:space="preserve">
</t>
        </r>
      </text>
    </comment>
    <comment ref="C186" authorId="1">
      <text>
        <r>
          <rPr>
            <b/>
            <sz val="9"/>
            <color indexed="81"/>
            <rFont val="Tahoma"/>
            <family val="2"/>
            <charset val="204"/>
          </rPr>
          <t xml:space="preserve">ПД
</t>
        </r>
      </text>
    </comment>
    <comment ref="D186" authorId="1">
      <text>
        <r>
          <rPr>
            <b/>
            <sz val="9"/>
            <color indexed="81"/>
            <rFont val="Tahoma"/>
            <family val="2"/>
            <charset val="204"/>
          </rPr>
          <t xml:space="preserve">МЗ
</t>
        </r>
        <r>
          <rPr>
            <sz val="9"/>
            <color indexed="81"/>
            <rFont val="Tahoma"/>
            <family val="2"/>
            <charset val="204"/>
          </rPr>
          <t xml:space="preserve">
</t>
        </r>
      </text>
    </comment>
    <comment ref="C191" authorId="1">
      <text>
        <r>
          <rPr>
            <b/>
            <sz val="9"/>
            <color indexed="81"/>
            <rFont val="Tahoma"/>
            <family val="2"/>
            <charset val="204"/>
          </rPr>
          <t xml:space="preserve">ПД
</t>
        </r>
      </text>
    </comment>
    <comment ref="D191" authorId="1">
      <text>
        <r>
          <rPr>
            <b/>
            <sz val="9"/>
            <color indexed="81"/>
            <rFont val="Tahoma"/>
            <family val="2"/>
            <charset val="204"/>
          </rPr>
          <t xml:space="preserve">МЗ
</t>
        </r>
        <r>
          <rPr>
            <sz val="9"/>
            <color indexed="81"/>
            <rFont val="Tahoma"/>
            <family val="2"/>
            <charset val="204"/>
          </rPr>
          <t xml:space="preserve">
</t>
        </r>
      </text>
    </comment>
    <comment ref="C196" authorId="1">
      <text>
        <r>
          <rPr>
            <b/>
            <sz val="9"/>
            <color indexed="81"/>
            <rFont val="Tahoma"/>
            <family val="2"/>
            <charset val="204"/>
          </rPr>
          <t xml:space="preserve">ПД
</t>
        </r>
      </text>
    </comment>
    <comment ref="D196" authorId="1">
      <text>
        <r>
          <rPr>
            <b/>
            <sz val="9"/>
            <color indexed="81"/>
            <rFont val="Tahoma"/>
            <family val="2"/>
            <charset val="204"/>
          </rPr>
          <t xml:space="preserve">МЗ
</t>
        </r>
        <r>
          <rPr>
            <sz val="9"/>
            <color indexed="81"/>
            <rFont val="Tahoma"/>
            <family val="2"/>
            <charset val="204"/>
          </rPr>
          <t xml:space="preserve">
</t>
        </r>
      </text>
    </comment>
    <comment ref="C202" authorId="1">
      <text>
        <r>
          <rPr>
            <b/>
            <sz val="9"/>
            <color indexed="81"/>
            <rFont val="Tahoma"/>
            <family val="2"/>
            <charset val="204"/>
          </rPr>
          <t xml:space="preserve">ПД
</t>
        </r>
      </text>
    </comment>
    <comment ref="D202" authorId="1">
      <text>
        <r>
          <rPr>
            <b/>
            <sz val="9"/>
            <color indexed="81"/>
            <rFont val="Tahoma"/>
            <family val="2"/>
            <charset val="204"/>
          </rPr>
          <t xml:space="preserve">МЗ
</t>
        </r>
        <r>
          <rPr>
            <sz val="9"/>
            <color indexed="81"/>
            <rFont val="Tahoma"/>
            <family val="2"/>
            <charset val="204"/>
          </rPr>
          <t xml:space="preserve">
</t>
        </r>
      </text>
    </comment>
    <comment ref="C207" authorId="1">
      <text>
        <r>
          <rPr>
            <b/>
            <sz val="9"/>
            <color indexed="81"/>
            <rFont val="Tahoma"/>
            <family val="2"/>
            <charset val="204"/>
          </rPr>
          <t xml:space="preserve">ПД
</t>
        </r>
      </text>
    </comment>
    <comment ref="D207" authorId="1">
      <text>
        <r>
          <rPr>
            <b/>
            <sz val="9"/>
            <color indexed="81"/>
            <rFont val="Tahoma"/>
            <family val="2"/>
            <charset val="204"/>
          </rPr>
          <t xml:space="preserve">МЗ
</t>
        </r>
        <r>
          <rPr>
            <sz val="9"/>
            <color indexed="81"/>
            <rFont val="Tahoma"/>
            <family val="2"/>
            <charset val="204"/>
          </rPr>
          <t xml:space="preserve">
</t>
        </r>
      </text>
    </comment>
    <comment ref="C212" authorId="1">
      <text>
        <r>
          <rPr>
            <b/>
            <sz val="9"/>
            <color indexed="81"/>
            <rFont val="Tahoma"/>
            <family val="2"/>
            <charset val="204"/>
          </rPr>
          <t xml:space="preserve">ПД
</t>
        </r>
      </text>
    </comment>
    <comment ref="D212" authorId="1">
      <text>
        <r>
          <rPr>
            <b/>
            <sz val="9"/>
            <color indexed="81"/>
            <rFont val="Tahoma"/>
            <family val="2"/>
            <charset val="204"/>
          </rPr>
          <t xml:space="preserve">МЗ
</t>
        </r>
        <r>
          <rPr>
            <sz val="9"/>
            <color indexed="81"/>
            <rFont val="Tahoma"/>
            <family val="2"/>
            <charset val="204"/>
          </rPr>
          <t xml:space="preserve">
</t>
        </r>
      </text>
    </comment>
    <comment ref="C217" authorId="1">
      <text>
        <r>
          <rPr>
            <b/>
            <sz val="9"/>
            <color indexed="81"/>
            <rFont val="Tahoma"/>
            <family val="2"/>
            <charset val="204"/>
          </rPr>
          <t xml:space="preserve">ПД
</t>
        </r>
      </text>
    </comment>
    <comment ref="D217" authorId="1">
      <text>
        <r>
          <rPr>
            <b/>
            <sz val="9"/>
            <color indexed="81"/>
            <rFont val="Tahoma"/>
            <family val="2"/>
            <charset val="204"/>
          </rPr>
          <t xml:space="preserve">МЗ
</t>
        </r>
        <r>
          <rPr>
            <sz val="9"/>
            <color indexed="81"/>
            <rFont val="Tahoma"/>
            <family val="2"/>
            <charset val="204"/>
          </rPr>
          <t xml:space="preserve">
</t>
        </r>
      </text>
    </comment>
    <comment ref="C224" authorId="1">
      <text>
        <r>
          <rPr>
            <sz val="9"/>
            <color indexed="81"/>
            <rFont val="Tahoma"/>
            <family val="2"/>
            <charset val="204"/>
          </rPr>
          <t xml:space="preserve">ПД м.куб.
</t>
        </r>
      </text>
    </comment>
    <comment ref="D224" authorId="1">
      <text>
        <r>
          <rPr>
            <b/>
            <sz val="9"/>
            <color indexed="81"/>
            <rFont val="Tahoma"/>
            <family val="2"/>
            <charset val="204"/>
          </rPr>
          <t xml:space="preserve">ПД гк
</t>
        </r>
      </text>
    </comment>
    <comment ref="E224" authorId="1">
      <text>
        <r>
          <rPr>
            <b/>
            <sz val="9"/>
            <color indexed="81"/>
            <rFont val="Tahoma"/>
            <family val="2"/>
            <charset val="204"/>
          </rPr>
          <t xml:space="preserve">МЗ
</t>
        </r>
        <r>
          <rPr>
            <sz val="9"/>
            <color indexed="81"/>
            <rFont val="Tahoma"/>
            <family val="2"/>
            <charset val="204"/>
          </rPr>
          <t xml:space="preserve">
</t>
        </r>
      </text>
    </comment>
    <comment ref="C228" authorId="1">
      <text>
        <r>
          <rPr>
            <sz val="9"/>
            <color indexed="81"/>
            <rFont val="Tahoma"/>
            <family val="2"/>
            <charset val="204"/>
          </rPr>
          <t xml:space="preserve">ПД м.куб.
</t>
        </r>
      </text>
    </comment>
    <comment ref="D228" authorId="1">
      <text>
        <r>
          <rPr>
            <b/>
            <sz val="9"/>
            <color indexed="81"/>
            <rFont val="Tahoma"/>
            <family val="2"/>
            <charset val="204"/>
          </rPr>
          <t xml:space="preserve">ПД
</t>
        </r>
      </text>
    </comment>
    <comment ref="E228" authorId="1">
      <text>
        <r>
          <rPr>
            <b/>
            <sz val="9"/>
            <color indexed="81"/>
            <rFont val="Tahoma"/>
            <family val="2"/>
            <charset val="204"/>
          </rPr>
          <t xml:space="preserve">МЗ
</t>
        </r>
        <r>
          <rPr>
            <sz val="9"/>
            <color indexed="81"/>
            <rFont val="Tahoma"/>
            <family val="2"/>
            <charset val="204"/>
          </rPr>
          <t xml:space="preserve">
</t>
        </r>
      </text>
    </comment>
    <comment ref="C233" authorId="1">
      <text>
        <r>
          <rPr>
            <b/>
            <sz val="9"/>
            <color indexed="81"/>
            <rFont val="Tahoma"/>
            <family val="2"/>
            <charset val="204"/>
          </rPr>
          <t xml:space="preserve">ПД
</t>
        </r>
      </text>
    </comment>
    <comment ref="D233" authorId="1">
      <text>
        <r>
          <rPr>
            <b/>
            <sz val="9"/>
            <color indexed="81"/>
            <rFont val="Tahoma"/>
            <family val="2"/>
            <charset val="204"/>
          </rPr>
          <t xml:space="preserve">МЗ
</t>
        </r>
        <r>
          <rPr>
            <sz val="9"/>
            <color indexed="81"/>
            <rFont val="Tahoma"/>
            <family val="2"/>
            <charset val="204"/>
          </rPr>
          <t xml:space="preserve">
</t>
        </r>
      </text>
    </comment>
    <comment ref="C237" authorId="1">
      <text>
        <r>
          <rPr>
            <b/>
            <sz val="9"/>
            <color indexed="81"/>
            <rFont val="Tahoma"/>
            <family val="2"/>
            <charset val="204"/>
          </rPr>
          <t xml:space="preserve">ПД
</t>
        </r>
      </text>
    </comment>
    <comment ref="D237" authorId="1">
      <text>
        <r>
          <rPr>
            <b/>
            <sz val="9"/>
            <color indexed="81"/>
            <rFont val="Tahoma"/>
            <family val="2"/>
            <charset val="204"/>
          </rPr>
          <t xml:space="preserve">МЗ
</t>
        </r>
        <r>
          <rPr>
            <sz val="9"/>
            <color indexed="81"/>
            <rFont val="Tahoma"/>
            <family val="2"/>
            <charset val="204"/>
          </rPr>
          <t xml:space="preserve">
</t>
        </r>
      </text>
    </comment>
    <comment ref="C241" authorId="1">
      <text>
        <r>
          <rPr>
            <b/>
            <sz val="9"/>
            <color indexed="81"/>
            <rFont val="Tahoma"/>
            <family val="2"/>
            <charset val="204"/>
          </rPr>
          <t xml:space="preserve">ПД
</t>
        </r>
      </text>
    </comment>
    <comment ref="D241" authorId="1">
      <text>
        <r>
          <rPr>
            <b/>
            <sz val="9"/>
            <color indexed="81"/>
            <rFont val="Tahoma"/>
            <family val="2"/>
            <charset val="204"/>
          </rPr>
          <t xml:space="preserve">МЗ
</t>
        </r>
        <r>
          <rPr>
            <sz val="9"/>
            <color indexed="81"/>
            <rFont val="Tahoma"/>
            <family val="2"/>
            <charset val="204"/>
          </rPr>
          <t xml:space="preserve">
</t>
        </r>
      </text>
    </comment>
    <comment ref="C245" authorId="1">
      <text>
        <r>
          <rPr>
            <b/>
            <sz val="9"/>
            <color indexed="81"/>
            <rFont val="Tahoma"/>
            <family val="2"/>
            <charset val="204"/>
          </rPr>
          <t xml:space="preserve">ПД
</t>
        </r>
      </text>
    </comment>
    <comment ref="D245" authorId="1">
      <text>
        <r>
          <rPr>
            <b/>
            <sz val="9"/>
            <color indexed="81"/>
            <rFont val="Tahoma"/>
            <family val="2"/>
            <charset val="204"/>
          </rPr>
          <t xml:space="preserve">МЗ
</t>
        </r>
        <r>
          <rPr>
            <sz val="9"/>
            <color indexed="81"/>
            <rFont val="Tahoma"/>
            <family val="2"/>
            <charset val="204"/>
          </rPr>
          <t xml:space="preserve">
</t>
        </r>
      </text>
    </comment>
    <comment ref="C261" authorId="0">
      <text>
        <r>
          <rPr>
            <b/>
            <sz val="9"/>
            <color indexed="81"/>
            <rFont val="Tahoma"/>
            <family val="2"/>
            <charset val="204"/>
          </rPr>
          <t>Елена Владимировна Жилина:</t>
        </r>
        <r>
          <rPr>
            <sz val="9"/>
            <color indexed="81"/>
            <rFont val="Tahoma"/>
            <family val="2"/>
            <charset val="204"/>
          </rPr>
          <t xml:space="preserve">
ПДД
</t>
        </r>
      </text>
    </comment>
    <comment ref="C269" authorId="0">
      <text>
        <r>
          <rPr>
            <b/>
            <sz val="9"/>
            <color indexed="81"/>
            <rFont val="Tahoma"/>
            <family val="2"/>
            <charset val="204"/>
          </rPr>
          <t>Елена Владимировна Жилина:</t>
        </r>
        <r>
          <rPr>
            <sz val="9"/>
            <color indexed="81"/>
            <rFont val="Tahoma"/>
            <family val="2"/>
            <charset val="204"/>
          </rPr>
          <t xml:space="preserve">
ПДД
</t>
        </r>
      </text>
    </comment>
    <comment ref="D269" authorId="0">
      <text>
        <r>
          <rPr>
            <b/>
            <sz val="9"/>
            <color indexed="81"/>
            <rFont val="Tahoma"/>
            <family val="2"/>
            <charset val="204"/>
          </rPr>
          <t>Елена Владимировна Жилина:</t>
        </r>
        <r>
          <rPr>
            <sz val="9"/>
            <color indexed="81"/>
            <rFont val="Tahoma"/>
            <family val="2"/>
            <charset val="204"/>
          </rPr>
          <t xml:space="preserve">
МЗ
</t>
        </r>
      </text>
    </comment>
    <comment ref="C274" authorId="0">
      <text>
        <r>
          <rPr>
            <b/>
            <sz val="9"/>
            <color indexed="81"/>
            <rFont val="Tahoma"/>
            <family val="2"/>
            <charset val="204"/>
          </rPr>
          <t>Елена Владимировна Жилина:</t>
        </r>
        <r>
          <rPr>
            <sz val="9"/>
            <color indexed="81"/>
            <rFont val="Tahoma"/>
            <family val="2"/>
            <charset val="204"/>
          </rPr>
          <t xml:space="preserve">
ПД
</t>
        </r>
      </text>
    </comment>
    <comment ref="D274" authorId="0">
      <text>
        <r>
          <rPr>
            <b/>
            <sz val="9"/>
            <color indexed="81"/>
            <rFont val="Tahoma"/>
            <family val="2"/>
            <charset val="204"/>
          </rPr>
          <t>Елена Владимировна Жилина:</t>
        </r>
        <r>
          <rPr>
            <sz val="9"/>
            <color indexed="81"/>
            <rFont val="Tahoma"/>
            <family val="2"/>
            <charset val="204"/>
          </rPr>
          <t xml:space="preserve">
МЗ
</t>
        </r>
      </text>
    </comment>
    <comment ref="C292" authorId="0">
      <text>
        <r>
          <rPr>
            <b/>
            <sz val="9"/>
            <color indexed="81"/>
            <rFont val="Tahoma"/>
            <family val="2"/>
            <charset val="204"/>
          </rPr>
          <t>Елена Владимировна Жилина:</t>
        </r>
        <r>
          <rPr>
            <sz val="9"/>
            <color indexed="81"/>
            <rFont val="Tahoma"/>
            <family val="2"/>
            <charset val="204"/>
          </rPr>
          <t xml:space="preserve">
ПДД
</t>
        </r>
      </text>
    </comment>
    <comment ref="D292" authorId="0">
      <text>
        <r>
          <rPr>
            <b/>
            <sz val="9"/>
            <color indexed="81"/>
            <rFont val="Tahoma"/>
            <family val="2"/>
            <charset val="204"/>
          </rPr>
          <t>Елена Владимировна Жилина:</t>
        </r>
        <r>
          <rPr>
            <sz val="9"/>
            <color indexed="81"/>
            <rFont val="Tahoma"/>
            <family val="2"/>
            <charset val="204"/>
          </rPr>
          <t xml:space="preserve">
МЗ
</t>
        </r>
      </text>
    </comment>
    <comment ref="C297" authorId="0">
      <text>
        <r>
          <rPr>
            <b/>
            <sz val="9"/>
            <color indexed="81"/>
            <rFont val="Tahoma"/>
            <family val="2"/>
            <charset val="204"/>
          </rPr>
          <t>Елена Владимировна Жилина:</t>
        </r>
        <r>
          <rPr>
            <sz val="9"/>
            <color indexed="81"/>
            <rFont val="Tahoma"/>
            <family val="2"/>
            <charset val="204"/>
          </rPr>
          <t xml:space="preserve">
ПДД
</t>
        </r>
      </text>
    </comment>
    <comment ref="D297" authorId="0">
      <text>
        <r>
          <rPr>
            <b/>
            <sz val="9"/>
            <color indexed="81"/>
            <rFont val="Tahoma"/>
            <family val="2"/>
            <charset val="204"/>
          </rPr>
          <t>Елена Владимировна Жилина:</t>
        </r>
        <r>
          <rPr>
            <sz val="9"/>
            <color indexed="81"/>
            <rFont val="Tahoma"/>
            <family val="2"/>
            <charset val="204"/>
          </rPr>
          <t xml:space="preserve">
МЗ
</t>
        </r>
      </text>
    </comment>
    <comment ref="C300" authorId="0">
      <text>
        <r>
          <rPr>
            <b/>
            <sz val="9"/>
            <color indexed="81"/>
            <rFont val="Tahoma"/>
            <family val="2"/>
            <charset val="204"/>
          </rPr>
          <t>Елена Владимировна Жилина:</t>
        </r>
        <r>
          <rPr>
            <sz val="9"/>
            <color indexed="81"/>
            <rFont val="Tahoma"/>
            <family val="2"/>
            <charset val="204"/>
          </rPr>
          <t xml:space="preserve">
ПДД
</t>
        </r>
      </text>
    </comment>
    <comment ref="D300" authorId="0">
      <text>
        <r>
          <rPr>
            <b/>
            <sz val="9"/>
            <color indexed="81"/>
            <rFont val="Tahoma"/>
            <family val="2"/>
            <charset val="204"/>
          </rPr>
          <t>Елена Владимировна Жилина:</t>
        </r>
        <r>
          <rPr>
            <sz val="9"/>
            <color indexed="81"/>
            <rFont val="Tahoma"/>
            <family val="2"/>
            <charset val="204"/>
          </rPr>
          <t xml:space="preserve">
МЗ
</t>
        </r>
      </text>
    </comment>
    <comment ref="C303" authorId="0">
      <text>
        <r>
          <rPr>
            <b/>
            <sz val="9"/>
            <color indexed="81"/>
            <rFont val="Tahoma"/>
            <family val="2"/>
            <charset val="204"/>
          </rPr>
          <t>Елена Владимировна Жилина:</t>
        </r>
        <r>
          <rPr>
            <sz val="9"/>
            <color indexed="81"/>
            <rFont val="Tahoma"/>
            <family val="2"/>
            <charset val="204"/>
          </rPr>
          <t xml:space="preserve">
ПДД
</t>
        </r>
      </text>
    </comment>
    <comment ref="C306" authorId="0">
      <text>
        <r>
          <rPr>
            <b/>
            <sz val="9"/>
            <color indexed="81"/>
            <rFont val="Tahoma"/>
            <family val="2"/>
            <charset val="204"/>
          </rPr>
          <t>Елена Владимировна Жилина:</t>
        </r>
        <r>
          <rPr>
            <sz val="9"/>
            <color indexed="81"/>
            <rFont val="Tahoma"/>
            <family val="2"/>
            <charset val="204"/>
          </rPr>
          <t xml:space="preserve">
ПДД
</t>
        </r>
      </text>
    </comment>
    <comment ref="G311" authorId="0">
      <text>
        <r>
          <rPr>
            <b/>
            <sz val="9"/>
            <color indexed="81"/>
            <rFont val="Tahoma"/>
            <family val="2"/>
            <charset val="204"/>
          </rPr>
          <t>Елена Владимировна Жилина:</t>
        </r>
        <r>
          <rPr>
            <sz val="9"/>
            <color indexed="81"/>
            <rFont val="Tahoma"/>
            <family val="2"/>
            <charset val="204"/>
          </rPr>
          <t xml:space="preserve">
МЗ
</t>
        </r>
      </text>
    </comment>
    <comment ref="H311" authorId="0">
      <text>
        <r>
          <rPr>
            <b/>
            <sz val="9"/>
            <color indexed="81"/>
            <rFont val="Tahoma"/>
            <family val="2"/>
            <charset val="204"/>
          </rPr>
          <t>Елена Владимировна Жилина:</t>
        </r>
        <r>
          <rPr>
            <sz val="9"/>
            <color indexed="81"/>
            <rFont val="Tahoma"/>
            <family val="2"/>
            <charset val="204"/>
          </rPr>
          <t xml:space="preserve">
ПД
</t>
        </r>
      </text>
    </comment>
    <comment ref="C315" authorId="0">
      <text>
        <r>
          <rPr>
            <b/>
            <sz val="9"/>
            <color indexed="81"/>
            <rFont val="Tahoma"/>
            <family val="2"/>
            <charset val="204"/>
          </rPr>
          <t>Елена Владимировна Жилина:</t>
        </r>
        <r>
          <rPr>
            <sz val="9"/>
            <color indexed="81"/>
            <rFont val="Tahoma"/>
            <family val="2"/>
            <charset val="204"/>
          </rPr>
          <t xml:space="preserve">
ПДД
</t>
        </r>
      </text>
    </comment>
    <comment ref="D315" authorId="0">
      <text>
        <r>
          <rPr>
            <b/>
            <sz val="9"/>
            <color indexed="81"/>
            <rFont val="Tahoma"/>
            <family val="2"/>
            <charset val="204"/>
          </rPr>
          <t>Елена Владимировна Жилина:</t>
        </r>
        <r>
          <rPr>
            <sz val="9"/>
            <color indexed="81"/>
            <rFont val="Tahoma"/>
            <family val="2"/>
            <charset val="204"/>
          </rPr>
          <t xml:space="preserve">
МЗ
</t>
        </r>
      </text>
    </comment>
    <comment ref="B361" authorId="0">
      <text>
        <r>
          <rPr>
            <b/>
            <sz val="9"/>
            <color indexed="81"/>
            <rFont val="Tahoma"/>
            <family val="2"/>
            <charset val="204"/>
          </rPr>
          <t>Елена Владимировна Жилина:</t>
        </r>
        <r>
          <rPr>
            <sz val="9"/>
            <color indexed="81"/>
            <rFont val="Tahoma"/>
            <family val="2"/>
            <charset val="204"/>
          </rPr>
          <t xml:space="preserve">
расходы указываются отдельно по каждому ТС
</t>
        </r>
      </text>
    </comment>
    <comment ref="C368" authorId="0">
      <text>
        <r>
          <rPr>
            <b/>
            <sz val="9"/>
            <color indexed="81"/>
            <rFont val="Tahoma"/>
            <family val="2"/>
            <charset val="204"/>
          </rPr>
          <t>Елена Владимировна Жилина:</t>
        </r>
        <r>
          <rPr>
            <sz val="9"/>
            <color indexed="81"/>
            <rFont val="Tahoma"/>
            <family val="2"/>
            <charset val="204"/>
          </rPr>
          <t xml:space="preserve">
ПДД
</t>
        </r>
      </text>
    </comment>
    <comment ref="D368" authorId="0">
      <text>
        <r>
          <rPr>
            <b/>
            <sz val="9"/>
            <color indexed="81"/>
            <rFont val="Tahoma"/>
            <family val="2"/>
            <charset val="204"/>
          </rPr>
          <t>Елена Владимировна Жилина:</t>
        </r>
        <r>
          <rPr>
            <sz val="9"/>
            <color indexed="81"/>
            <rFont val="Tahoma"/>
            <family val="2"/>
            <charset val="204"/>
          </rPr>
          <t xml:space="preserve">
МЗ</t>
        </r>
      </text>
    </comment>
    <comment ref="C371" authorId="0">
      <text>
        <r>
          <rPr>
            <b/>
            <sz val="9"/>
            <color indexed="81"/>
            <rFont val="Tahoma"/>
            <family val="2"/>
            <charset val="204"/>
          </rPr>
          <t>Елена Владимировна Жилина:</t>
        </r>
        <r>
          <rPr>
            <sz val="9"/>
            <color indexed="81"/>
            <rFont val="Tahoma"/>
            <family val="2"/>
            <charset val="204"/>
          </rPr>
          <t xml:space="preserve">
ПДД</t>
        </r>
      </text>
    </comment>
    <comment ref="D371" authorId="0">
      <text>
        <r>
          <rPr>
            <b/>
            <sz val="9"/>
            <color indexed="81"/>
            <rFont val="Tahoma"/>
            <family val="2"/>
            <charset val="204"/>
          </rPr>
          <t>Елена Владимировна Жилина:</t>
        </r>
        <r>
          <rPr>
            <sz val="9"/>
            <color indexed="81"/>
            <rFont val="Tahoma"/>
            <family val="2"/>
            <charset val="204"/>
          </rPr>
          <t xml:space="preserve">
МЗ
</t>
        </r>
      </text>
    </comment>
    <comment ref="C377" authorId="0">
      <text>
        <r>
          <rPr>
            <b/>
            <sz val="9"/>
            <color indexed="81"/>
            <rFont val="Tahoma"/>
            <family val="2"/>
            <charset val="204"/>
          </rPr>
          <t>Елена Владимировна Жилина:</t>
        </r>
        <r>
          <rPr>
            <sz val="9"/>
            <color indexed="81"/>
            <rFont val="Tahoma"/>
            <family val="2"/>
            <charset val="204"/>
          </rPr>
          <t xml:space="preserve">
ПДД</t>
        </r>
      </text>
    </comment>
    <comment ref="D377" authorId="0">
      <text>
        <r>
          <rPr>
            <b/>
            <sz val="9"/>
            <color indexed="81"/>
            <rFont val="Tahoma"/>
            <family val="2"/>
            <charset val="204"/>
          </rPr>
          <t>Елена Владимировна Жилина:</t>
        </r>
        <r>
          <rPr>
            <sz val="9"/>
            <color indexed="81"/>
            <rFont val="Tahoma"/>
            <family val="2"/>
            <charset val="204"/>
          </rPr>
          <t xml:space="preserve">
МЗ</t>
        </r>
      </text>
    </comment>
    <comment ref="C381" authorId="0">
      <text>
        <r>
          <rPr>
            <b/>
            <sz val="9"/>
            <color indexed="81"/>
            <rFont val="Tahoma"/>
            <family val="2"/>
            <charset val="204"/>
          </rPr>
          <t>Елена Владимировна Жилина:</t>
        </r>
        <r>
          <rPr>
            <sz val="9"/>
            <color indexed="81"/>
            <rFont val="Tahoma"/>
            <family val="2"/>
            <charset val="204"/>
          </rPr>
          <t xml:space="preserve">
ПДД
</t>
        </r>
      </text>
    </comment>
    <comment ref="D381" authorId="0">
      <text>
        <r>
          <rPr>
            <b/>
            <sz val="9"/>
            <color indexed="81"/>
            <rFont val="Tahoma"/>
            <family val="2"/>
            <charset val="204"/>
          </rPr>
          <t>Елена Владимировна Жилина:</t>
        </r>
        <r>
          <rPr>
            <sz val="9"/>
            <color indexed="81"/>
            <rFont val="Tahoma"/>
            <family val="2"/>
            <charset val="204"/>
          </rPr>
          <t xml:space="preserve">
МЗ</t>
        </r>
      </text>
    </comment>
    <comment ref="C445" authorId="0">
      <text>
        <r>
          <rPr>
            <b/>
            <sz val="9"/>
            <color indexed="81"/>
            <rFont val="Tahoma"/>
            <family val="2"/>
            <charset val="204"/>
          </rPr>
          <t>Елена Владимировна Жилина:</t>
        </r>
        <r>
          <rPr>
            <sz val="9"/>
            <color indexed="81"/>
            <rFont val="Tahoma"/>
            <family val="2"/>
            <charset val="204"/>
          </rPr>
          <t xml:space="preserve">
ПД
</t>
        </r>
      </text>
    </comment>
    <comment ref="D445" authorId="0">
      <text>
        <r>
          <rPr>
            <b/>
            <sz val="9"/>
            <color indexed="81"/>
            <rFont val="Tahoma"/>
            <family val="2"/>
            <charset val="204"/>
          </rPr>
          <t>Елена Владимировна Жилина:</t>
        </r>
        <r>
          <rPr>
            <sz val="9"/>
            <color indexed="81"/>
            <rFont val="Tahoma"/>
            <family val="2"/>
            <charset val="204"/>
          </rPr>
          <t xml:space="preserve">
МЗ</t>
        </r>
      </text>
    </comment>
    <comment ref="C450" authorId="0">
      <text>
        <r>
          <rPr>
            <b/>
            <sz val="9"/>
            <color indexed="81"/>
            <rFont val="Tahoma"/>
            <family val="2"/>
            <charset val="204"/>
          </rPr>
          <t>Елена Владимировна Жилина:</t>
        </r>
        <r>
          <rPr>
            <sz val="9"/>
            <color indexed="81"/>
            <rFont val="Tahoma"/>
            <family val="2"/>
            <charset val="204"/>
          </rPr>
          <t xml:space="preserve">
ПДД
</t>
        </r>
      </text>
    </comment>
    <comment ref="D450" authorId="0">
      <text>
        <r>
          <rPr>
            <b/>
            <sz val="9"/>
            <color indexed="81"/>
            <rFont val="Tahoma"/>
            <family val="2"/>
            <charset val="204"/>
          </rPr>
          <t>Елена Владимировна Жилина:</t>
        </r>
        <r>
          <rPr>
            <sz val="9"/>
            <color indexed="81"/>
            <rFont val="Tahoma"/>
            <family val="2"/>
            <charset val="204"/>
          </rPr>
          <t xml:space="preserve">
МЗ</t>
        </r>
      </text>
    </comment>
    <comment ref="C456" authorId="0">
      <text>
        <r>
          <rPr>
            <b/>
            <sz val="9"/>
            <color indexed="81"/>
            <rFont val="Tahoma"/>
            <family val="2"/>
            <charset val="204"/>
          </rPr>
          <t>Елена Владимировна Жилина:</t>
        </r>
        <r>
          <rPr>
            <sz val="9"/>
            <color indexed="81"/>
            <rFont val="Tahoma"/>
            <family val="2"/>
            <charset val="204"/>
          </rPr>
          <t xml:space="preserve">
ПДД
</t>
        </r>
      </text>
    </comment>
    <comment ref="D456" authorId="0">
      <text>
        <r>
          <rPr>
            <b/>
            <sz val="9"/>
            <color indexed="81"/>
            <rFont val="Tahoma"/>
            <family val="2"/>
            <charset val="204"/>
          </rPr>
          <t>Елена Владимировна Жилина:</t>
        </r>
        <r>
          <rPr>
            <sz val="9"/>
            <color indexed="81"/>
            <rFont val="Tahoma"/>
            <family val="2"/>
            <charset val="204"/>
          </rPr>
          <t xml:space="preserve">
МЗ</t>
        </r>
      </text>
    </comment>
    <comment ref="B654" authorId="0">
      <text>
        <r>
          <rPr>
            <b/>
            <sz val="9"/>
            <color indexed="81"/>
            <rFont val="Tahoma"/>
            <family val="2"/>
            <charset val="204"/>
          </rPr>
          <t>Елена Владимировна Жилина:</t>
        </r>
        <r>
          <rPr>
            <sz val="9"/>
            <color indexed="81"/>
            <rFont val="Tahoma"/>
            <family val="2"/>
            <charset val="204"/>
          </rPr>
          <t xml:space="preserve">
расходы указываются отдельно по каждому ТС
</t>
        </r>
      </text>
    </comment>
    <comment ref="C656" authorId="1">
      <text>
        <r>
          <rPr>
            <b/>
            <sz val="9"/>
            <color indexed="81"/>
            <rFont val="Tahoma"/>
            <family val="2"/>
            <charset val="204"/>
          </rPr>
          <t xml:space="preserve">норма расхода бензина
</t>
        </r>
      </text>
    </comment>
    <comment ref="E656" authorId="1">
      <text>
        <r>
          <rPr>
            <b/>
            <sz val="9"/>
            <color indexed="81"/>
            <rFont val="Tahoma"/>
            <family val="2"/>
            <charset val="204"/>
          </rPr>
          <t xml:space="preserve">пробег зима
</t>
        </r>
        <r>
          <rPr>
            <sz val="9"/>
            <color indexed="81"/>
            <rFont val="Tahoma"/>
            <family val="2"/>
            <charset val="204"/>
          </rPr>
          <t xml:space="preserve">
</t>
        </r>
      </text>
    </comment>
    <comment ref="G656" authorId="1">
      <text>
        <r>
          <rPr>
            <b/>
            <sz val="9"/>
            <color indexed="81"/>
            <rFont val="Tahoma"/>
            <family val="2"/>
            <charset val="204"/>
          </rPr>
          <t xml:space="preserve">стоимость бензина
</t>
        </r>
        <r>
          <rPr>
            <sz val="9"/>
            <color indexed="81"/>
            <rFont val="Tahoma"/>
            <family val="2"/>
            <charset val="204"/>
          </rPr>
          <t xml:space="preserve">
</t>
        </r>
      </text>
    </comment>
    <comment ref="C657" authorId="1">
      <text>
        <r>
          <rPr>
            <b/>
            <sz val="9"/>
            <color indexed="81"/>
            <rFont val="Tahoma"/>
            <family val="2"/>
            <charset val="204"/>
          </rPr>
          <t xml:space="preserve">норма расхода бензина
</t>
        </r>
      </text>
    </comment>
    <comment ref="E657" authorId="1">
      <text>
        <r>
          <rPr>
            <b/>
            <sz val="9"/>
            <color indexed="81"/>
            <rFont val="Tahoma"/>
            <family val="2"/>
            <charset val="204"/>
          </rPr>
          <t xml:space="preserve">пробег лето
</t>
        </r>
        <r>
          <rPr>
            <sz val="9"/>
            <color indexed="81"/>
            <rFont val="Tahoma"/>
            <family val="2"/>
            <charset val="204"/>
          </rPr>
          <t xml:space="preserve">
</t>
        </r>
      </text>
    </comment>
    <comment ref="G657" authorId="1">
      <text>
        <r>
          <rPr>
            <b/>
            <sz val="9"/>
            <color indexed="81"/>
            <rFont val="Tahoma"/>
            <family val="2"/>
            <charset val="204"/>
          </rPr>
          <t xml:space="preserve">стоимость бензина
</t>
        </r>
        <r>
          <rPr>
            <sz val="9"/>
            <color indexed="81"/>
            <rFont val="Tahoma"/>
            <family val="2"/>
            <charset val="204"/>
          </rPr>
          <t xml:space="preserve">
</t>
        </r>
      </text>
    </comment>
    <comment ref="C659" authorId="1">
      <text>
        <r>
          <rPr>
            <b/>
            <sz val="9"/>
            <color indexed="81"/>
            <rFont val="Tahoma"/>
            <family val="2"/>
            <charset val="204"/>
          </rPr>
          <t xml:space="preserve">норма расхода бензина
</t>
        </r>
      </text>
    </comment>
    <comment ref="E659" authorId="1">
      <text>
        <r>
          <rPr>
            <b/>
            <sz val="9"/>
            <color indexed="81"/>
            <rFont val="Tahoma"/>
            <family val="2"/>
            <charset val="204"/>
          </rPr>
          <t xml:space="preserve">пробег зима
</t>
        </r>
        <r>
          <rPr>
            <sz val="9"/>
            <color indexed="81"/>
            <rFont val="Tahoma"/>
            <family val="2"/>
            <charset val="204"/>
          </rPr>
          <t xml:space="preserve">
</t>
        </r>
      </text>
    </comment>
    <comment ref="G659" authorId="1">
      <text>
        <r>
          <rPr>
            <b/>
            <sz val="9"/>
            <color indexed="81"/>
            <rFont val="Tahoma"/>
            <family val="2"/>
            <charset val="204"/>
          </rPr>
          <t xml:space="preserve">стоимость бензина
</t>
        </r>
        <r>
          <rPr>
            <sz val="9"/>
            <color indexed="81"/>
            <rFont val="Tahoma"/>
            <family val="2"/>
            <charset val="204"/>
          </rPr>
          <t xml:space="preserve">
</t>
        </r>
      </text>
    </comment>
    <comment ref="C660" authorId="1">
      <text>
        <r>
          <rPr>
            <b/>
            <sz val="9"/>
            <color indexed="81"/>
            <rFont val="Tahoma"/>
            <family val="2"/>
            <charset val="204"/>
          </rPr>
          <t xml:space="preserve">норма расхода бензина
</t>
        </r>
      </text>
    </comment>
    <comment ref="E660" authorId="1">
      <text>
        <r>
          <rPr>
            <b/>
            <sz val="9"/>
            <color indexed="81"/>
            <rFont val="Tahoma"/>
            <family val="2"/>
            <charset val="204"/>
          </rPr>
          <t xml:space="preserve">пробег лето
</t>
        </r>
        <r>
          <rPr>
            <sz val="9"/>
            <color indexed="81"/>
            <rFont val="Tahoma"/>
            <family val="2"/>
            <charset val="204"/>
          </rPr>
          <t xml:space="preserve">
</t>
        </r>
      </text>
    </comment>
    <comment ref="G660" authorId="1">
      <text>
        <r>
          <rPr>
            <b/>
            <sz val="9"/>
            <color indexed="81"/>
            <rFont val="Tahoma"/>
            <family val="2"/>
            <charset val="204"/>
          </rPr>
          <t xml:space="preserve">стоимость бензина
</t>
        </r>
        <r>
          <rPr>
            <sz val="9"/>
            <color indexed="81"/>
            <rFont val="Tahoma"/>
            <family val="2"/>
            <charset val="204"/>
          </rPr>
          <t xml:space="preserve">
</t>
        </r>
      </text>
    </comment>
    <comment ref="C662" authorId="1">
      <text>
        <r>
          <rPr>
            <b/>
            <sz val="9"/>
            <color indexed="81"/>
            <rFont val="Tahoma"/>
            <family val="2"/>
            <charset val="204"/>
          </rPr>
          <t xml:space="preserve">норма расхода бензина
</t>
        </r>
      </text>
    </comment>
    <comment ref="E662" authorId="1">
      <text>
        <r>
          <rPr>
            <b/>
            <sz val="9"/>
            <color indexed="81"/>
            <rFont val="Tahoma"/>
            <family val="2"/>
            <charset val="204"/>
          </rPr>
          <t xml:space="preserve">пробег зима
</t>
        </r>
        <r>
          <rPr>
            <sz val="9"/>
            <color indexed="81"/>
            <rFont val="Tahoma"/>
            <family val="2"/>
            <charset val="204"/>
          </rPr>
          <t xml:space="preserve">
</t>
        </r>
      </text>
    </comment>
    <comment ref="G662" authorId="1">
      <text>
        <r>
          <rPr>
            <b/>
            <sz val="9"/>
            <color indexed="81"/>
            <rFont val="Tahoma"/>
            <family val="2"/>
            <charset val="204"/>
          </rPr>
          <t xml:space="preserve">стоимость бензина
</t>
        </r>
        <r>
          <rPr>
            <sz val="9"/>
            <color indexed="81"/>
            <rFont val="Tahoma"/>
            <family val="2"/>
            <charset val="204"/>
          </rPr>
          <t xml:space="preserve">
</t>
        </r>
      </text>
    </comment>
    <comment ref="C663" authorId="1">
      <text>
        <r>
          <rPr>
            <b/>
            <sz val="9"/>
            <color indexed="81"/>
            <rFont val="Tahoma"/>
            <family val="2"/>
            <charset val="204"/>
          </rPr>
          <t xml:space="preserve">норма расхода бензина
</t>
        </r>
      </text>
    </comment>
    <comment ref="E663" authorId="1">
      <text>
        <r>
          <rPr>
            <b/>
            <sz val="9"/>
            <color indexed="81"/>
            <rFont val="Tahoma"/>
            <family val="2"/>
            <charset val="204"/>
          </rPr>
          <t xml:space="preserve">пробег лето
</t>
        </r>
        <r>
          <rPr>
            <sz val="9"/>
            <color indexed="81"/>
            <rFont val="Tahoma"/>
            <family val="2"/>
            <charset val="204"/>
          </rPr>
          <t xml:space="preserve">
</t>
        </r>
      </text>
    </comment>
    <comment ref="G663" authorId="1">
      <text>
        <r>
          <rPr>
            <b/>
            <sz val="9"/>
            <color indexed="81"/>
            <rFont val="Tahoma"/>
            <family val="2"/>
            <charset val="204"/>
          </rPr>
          <t xml:space="preserve">стоимость бензина
</t>
        </r>
        <r>
          <rPr>
            <sz val="9"/>
            <color indexed="81"/>
            <rFont val="Tahoma"/>
            <family val="2"/>
            <charset val="204"/>
          </rPr>
          <t xml:space="preserve">
</t>
        </r>
      </text>
    </comment>
    <comment ref="C665" authorId="1">
      <text>
        <r>
          <rPr>
            <b/>
            <sz val="9"/>
            <color indexed="81"/>
            <rFont val="Tahoma"/>
            <family val="2"/>
            <charset val="204"/>
          </rPr>
          <t xml:space="preserve">норма расхода бензина
</t>
        </r>
      </text>
    </comment>
    <comment ref="E665" authorId="1">
      <text>
        <r>
          <rPr>
            <b/>
            <sz val="9"/>
            <color indexed="81"/>
            <rFont val="Tahoma"/>
            <family val="2"/>
            <charset val="204"/>
          </rPr>
          <t xml:space="preserve">пробег зима
</t>
        </r>
        <r>
          <rPr>
            <sz val="9"/>
            <color indexed="81"/>
            <rFont val="Tahoma"/>
            <family val="2"/>
            <charset val="204"/>
          </rPr>
          <t xml:space="preserve">
</t>
        </r>
      </text>
    </comment>
    <comment ref="G665" authorId="1">
      <text>
        <r>
          <rPr>
            <b/>
            <sz val="9"/>
            <color indexed="81"/>
            <rFont val="Tahoma"/>
            <family val="2"/>
            <charset val="204"/>
          </rPr>
          <t xml:space="preserve">стоимость бензина
</t>
        </r>
        <r>
          <rPr>
            <sz val="9"/>
            <color indexed="81"/>
            <rFont val="Tahoma"/>
            <family val="2"/>
            <charset val="204"/>
          </rPr>
          <t xml:space="preserve">
</t>
        </r>
      </text>
    </comment>
    <comment ref="C666" authorId="1">
      <text>
        <r>
          <rPr>
            <b/>
            <sz val="9"/>
            <color indexed="81"/>
            <rFont val="Tahoma"/>
            <family val="2"/>
            <charset val="204"/>
          </rPr>
          <t xml:space="preserve">норма расхода бензина
</t>
        </r>
      </text>
    </comment>
    <comment ref="E666" authorId="1">
      <text>
        <r>
          <rPr>
            <b/>
            <sz val="9"/>
            <color indexed="81"/>
            <rFont val="Tahoma"/>
            <family val="2"/>
            <charset val="204"/>
          </rPr>
          <t xml:space="preserve">пробег лето
</t>
        </r>
        <r>
          <rPr>
            <sz val="9"/>
            <color indexed="81"/>
            <rFont val="Tahoma"/>
            <family val="2"/>
            <charset val="204"/>
          </rPr>
          <t xml:space="preserve">
</t>
        </r>
      </text>
    </comment>
    <comment ref="G666" authorId="1">
      <text>
        <r>
          <rPr>
            <b/>
            <sz val="9"/>
            <color indexed="81"/>
            <rFont val="Tahoma"/>
            <family val="2"/>
            <charset val="204"/>
          </rPr>
          <t xml:space="preserve">стоимость бензина
</t>
        </r>
        <r>
          <rPr>
            <sz val="9"/>
            <color indexed="81"/>
            <rFont val="Tahoma"/>
            <family val="2"/>
            <charset val="204"/>
          </rPr>
          <t xml:space="preserve">
</t>
        </r>
      </text>
    </comment>
    <comment ref="C668" authorId="1">
      <text>
        <r>
          <rPr>
            <b/>
            <sz val="9"/>
            <color indexed="81"/>
            <rFont val="Tahoma"/>
            <family val="2"/>
            <charset val="204"/>
          </rPr>
          <t xml:space="preserve">норма расхода бензина
</t>
        </r>
      </text>
    </comment>
    <comment ref="E668" authorId="1">
      <text>
        <r>
          <rPr>
            <b/>
            <sz val="9"/>
            <color indexed="81"/>
            <rFont val="Tahoma"/>
            <family val="2"/>
            <charset val="204"/>
          </rPr>
          <t xml:space="preserve">пробег зима
</t>
        </r>
        <r>
          <rPr>
            <sz val="9"/>
            <color indexed="81"/>
            <rFont val="Tahoma"/>
            <family val="2"/>
            <charset val="204"/>
          </rPr>
          <t xml:space="preserve">
</t>
        </r>
      </text>
    </comment>
    <comment ref="G668" authorId="1">
      <text>
        <r>
          <rPr>
            <b/>
            <sz val="9"/>
            <color indexed="81"/>
            <rFont val="Tahoma"/>
            <family val="2"/>
            <charset val="204"/>
          </rPr>
          <t xml:space="preserve">стоимость бензина
</t>
        </r>
        <r>
          <rPr>
            <sz val="9"/>
            <color indexed="81"/>
            <rFont val="Tahoma"/>
            <family val="2"/>
            <charset val="204"/>
          </rPr>
          <t xml:space="preserve">
</t>
        </r>
      </text>
    </comment>
    <comment ref="C669" authorId="1">
      <text>
        <r>
          <rPr>
            <b/>
            <sz val="9"/>
            <color indexed="81"/>
            <rFont val="Tahoma"/>
            <family val="2"/>
            <charset val="204"/>
          </rPr>
          <t xml:space="preserve">норма расхода бензина
</t>
        </r>
      </text>
    </comment>
    <comment ref="E669" authorId="1">
      <text>
        <r>
          <rPr>
            <b/>
            <sz val="9"/>
            <color indexed="81"/>
            <rFont val="Tahoma"/>
            <family val="2"/>
            <charset val="204"/>
          </rPr>
          <t xml:space="preserve">пробег лето
</t>
        </r>
        <r>
          <rPr>
            <sz val="9"/>
            <color indexed="81"/>
            <rFont val="Tahoma"/>
            <family val="2"/>
            <charset val="204"/>
          </rPr>
          <t xml:space="preserve">
</t>
        </r>
      </text>
    </comment>
    <comment ref="G669" authorId="1">
      <text>
        <r>
          <rPr>
            <b/>
            <sz val="9"/>
            <color indexed="81"/>
            <rFont val="Tahoma"/>
            <family val="2"/>
            <charset val="204"/>
          </rPr>
          <t xml:space="preserve">стоимость бензина
</t>
        </r>
        <r>
          <rPr>
            <sz val="9"/>
            <color indexed="81"/>
            <rFont val="Tahoma"/>
            <family val="2"/>
            <charset val="204"/>
          </rPr>
          <t xml:space="preserve">
</t>
        </r>
      </text>
    </comment>
  </commentList>
</comments>
</file>

<file path=xl/sharedStrings.xml><?xml version="1.0" encoding="utf-8"?>
<sst xmlns="http://schemas.openxmlformats.org/spreadsheetml/2006/main" count="7226" uniqueCount="1297">
  <si>
    <t>КФО</t>
  </si>
  <si>
    <t>КОСГУ</t>
  </si>
  <si>
    <t>Примечание</t>
  </si>
  <si>
    <t>СОГЛАСОВАНО:</t>
  </si>
  <si>
    <t>(Должность руководителя отраслевого подразделения администрации города (органа, осуществляющего функции и полномочия учредителя)</t>
  </si>
  <si>
    <t>(подпись) (расшифровка подписи)</t>
  </si>
  <si>
    <t>УТВЕРЖДАЮ:</t>
  </si>
  <si>
    <t>(Должность руководителя муниципального учреждения)</t>
  </si>
  <si>
    <t>дата утверждения (согласования) может быть позже даты подписания, но в 1с план заносится той датой, которой</t>
  </si>
  <si>
    <t>утвержден (согласован)</t>
  </si>
  <si>
    <t>Коды</t>
  </si>
  <si>
    <t>от</t>
  </si>
  <si>
    <t>Дата</t>
  </si>
  <si>
    <t>«__»____________ 20__ г.</t>
  </si>
  <si>
    <t>дата подписания плана</t>
  </si>
  <si>
    <t>по Сводному реестру</t>
  </si>
  <si>
    <t>Орган, осуществляющий</t>
  </si>
  <si>
    <t>управление образования</t>
  </si>
  <si>
    <t>УО</t>
  </si>
  <si>
    <t>функции и полномочия учредителя</t>
  </si>
  <si>
    <t>администрации города Кемерово</t>
  </si>
  <si>
    <t>глава по БК</t>
  </si>
  <si>
    <t>Учреждение</t>
  </si>
  <si>
    <t>ИНН</t>
  </si>
  <si>
    <t>КПП</t>
  </si>
  <si>
    <t>Учреждение (обособленное подразделение)</t>
  </si>
  <si>
    <t>по ОКЕИ</t>
  </si>
  <si>
    <t>Единица измерения: руб.</t>
  </si>
  <si>
    <t>Раздел 1. Поступления и выплаты</t>
  </si>
  <si>
    <t>Наименование показателя</t>
  </si>
  <si>
    <t>Код строки</t>
  </si>
  <si>
    <t xml:space="preserve">Код по бюджетной классификации Российской Федерации </t>
  </si>
  <si>
    <t xml:space="preserve">Аналитический код </t>
  </si>
  <si>
    <t>Сумма</t>
  </si>
  <si>
    <t>за пределами планового периода</t>
  </si>
  <si>
    <t xml:space="preserve">Остаток средств на начало текущего финансового года </t>
  </si>
  <si>
    <t>0001</t>
  </si>
  <si>
    <t>Х</t>
  </si>
  <si>
    <t>2,4,5,6</t>
  </si>
  <si>
    <t>указываются планируемые суммы остатков средств на начало и на конец планируемого года (на этапе формирования проекта Плана), фактические остатки средств указываются при внесении изменений в утвержденный План после завершения отчетного финансового года</t>
  </si>
  <si>
    <t xml:space="preserve">Остаток средств на конец текущего финансового года </t>
  </si>
  <si>
    <t>0002</t>
  </si>
  <si>
    <t>Доходы, всего:</t>
  </si>
  <si>
    <t>1000</t>
  </si>
  <si>
    <t xml:space="preserve"> в том числе:
  доходы от собственности, всего</t>
  </si>
  <si>
    <t>1100</t>
  </si>
  <si>
    <t>Аренда</t>
  </si>
  <si>
    <t xml:space="preserve">  доходы от оказания услуг, работ, компенсации 
  затрат учреждений, всего</t>
  </si>
  <si>
    <t>1200</t>
  </si>
  <si>
    <t xml:space="preserve">   в том числе:
    субсидии на финансовое обеспечение 
    выполнения муниципального задания 
    за счет средств бюджета публично-правового 
    образования, создавшего учреждение</t>
  </si>
  <si>
    <t>1210</t>
  </si>
  <si>
    <t>Субсидия на финансовое обеспечение выполнения муниципального задания МЗ (131)</t>
  </si>
  <si>
    <t>1220</t>
  </si>
  <si>
    <t>Род.плата, платные услуги (131), Питание сотрудников (134), Возмещение коммунальных услуг (135)</t>
  </si>
  <si>
    <t xml:space="preserve">  доходы от штрафов, пеней, иных сумм 
  принудительного изъятия, всего</t>
  </si>
  <si>
    <t>1300</t>
  </si>
  <si>
    <t>141, 143</t>
  </si>
  <si>
    <t>Возмещение ущерба, пеня за нарушение условий контракта (141), пеня за несвоевр.оплату арендной платы (141), возм. комм.услуг (141), возмещение стоимости гос.пошлины (141), страховое возмещение по договору (143)</t>
  </si>
  <si>
    <t xml:space="preserve">  безвозмездные денежные поступления, всего</t>
  </si>
  <si>
    <t>1400</t>
  </si>
  <si>
    <t>1410</t>
  </si>
  <si>
    <t>ДРП</t>
  </si>
  <si>
    <t xml:space="preserve">  прочие доходы, всего</t>
  </si>
  <si>
    <t>1500</t>
  </si>
  <si>
    <t>1510</t>
  </si>
  <si>
    <t>Интернет, кап.ремонт, муниципальная стипендия, акция1сентября, теневые навесы, ГПН, лагеря дневного пребывания</t>
  </si>
  <si>
    <t xml:space="preserve">    субсидии на осуществление 
    капитальных вложений</t>
  </si>
  <si>
    <t xml:space="preserve">  доходы от операций с активами, всего</t>
  </si>
  <si>
    <t>1900</t>
  </si>
  <si>
    <t>1910</t>
  </si>
  <si>
    <t>Возмещение (кража)</t>
  </si>
  <si>
    <t>1920</t>
  </si>
  <si>
    <t>442, 446</t>
  </si>
  <si>
    <t>Недостача (продукты питания) (442), Сдача металлолома, макулатуры и пр (446)</t>
  </si>
  <si>
    <t>1980</t>
  </si>
  <si>
    <t>2,4,5</t>
  </si>
  <si>
    <t>Все прочие поступления, в т.ч. поступления в рамках внутренних расчетов (от головного учреждения, обособленного подразделения, филиала)</t>
  </si>
  <si>
    <t>1981</t>
  </si>
  <si>
    <t>Из строки 1980 выделяем возврат дебиторской задолженности прошлых лет</t>
  </si>
  <si>
    <t>Расходы, всего</t>
  </si>
  <si>
    <t>2000</t>
  </si>
  <si>
    <t xml:space="preserve"> в том числе:
  на выплаты персоналу, всего</t>
  </si>
  <si>
    <t>2100</t>
  </si>
  <si>
    <t xml:space="preserve">   в том числе:
    оплата труда</t>
  </si>
  <si>
    <t>2110</t>
  </si>
  <si>
    <t>2111</t>
  </si>
  <si>
    <t>211, 266</t>
  </si>
  <si>
    <t>Заработная плата (211), 3 дн. б/л (266)</t>
  </si>
  <si>
    <t>2112</t>
  </si>
  <si>
    <t>2113</t>
  </si>
  <si>
    <t xml:space="preserve">    прочие выплаты персоналу, в том числе 
    компенсационного характера</t>
  </si>
  <si>
    <t>2120</t>
  </si>
  <si>
    <t>2121</t>
  </si>
  <si>
    <t>Командировочные расходы (проживание, проезд, суточные) (226), Выплата выход.пособия работникам учреждения при их увольнении не связанном с ликвидацией либо реорганизацией уч-я (266), Пособие до 3-х лет, Возмещение расходов на мед.осмотр при трудоустройстве</t>
  </si>
  <si>
    <t>2122</t>
  </si>
  <si>
    <t xml:space="preserve">    иные выплаты, за исключением фонда оплаты 
    труда учреждения, для выполнения отдельных 
    полномочий</t>
  </si>
  <si>
    <t>2130</t>
  </si>
  <si>
    <t>2131</t>
  </si>
  <si>
    <t>Компенсация учащимся расходов на питание и проезд, при направлении их на соревнования, иные выпл.спортсм.привлекаем.для участия в спортив.мероприят, без заключ.с ними трудовых догов.или догов.ГПХ.</t>
  </si>
  <si>
    <t>2132</t>
  </si>
  <si>
    <t xml:space="preserve">    взносы по обязательному социальному 
    страхованию на выплаты по оплате труда 
    работников и иные выплаты работникам 
    учреждений, всего</t>
  </si>
  <si>
    <t>2140</t>
  </si>
  <si>
    <t xml:space="preserve">     в том числе: 
      на выплаты по оплате труда</t>
  </si>
  <si>
    <t>2141</t>
  </si>
  <si>
    <t xml:space="preserve">        поступления от оказания услуг (выполнения 
        работ) на платной основе и от иной 
        приносящей доход деятельности</t>
  </si>
  <si>
    <t xml:space="preserve">      на иные выплаты работникам</t>
  </si>
  <si>
    <t>2142</t>
  </si>
  <si>
    <t xml:space="preserve">  социальные и иные выплаты населению, всего</t>
  </si>
  <si>
    <t>2200</t>
  </si>
  <si>
    <t xml:space="preserve">   в том числе:
    социальные выплаты гражданам, кроме 
    публичных нормативных социальных выплат</t>
  </si>
  <si>
    <t>2210</t>
  </si>
  <si>
    <t xml:space="preserve">     из них: 
      пособия, компенсации и иные социальные 
      выплаты гражданам, кроме публичных 
      нормативных обязательств</t>
  </si>
  <si>
    <t>2211</t>
  </si>
  <si>
    <t>Расходы на выплату 3 дн. б/л уволенным работникам в течение 30 к.дн после расторжения трудового договора (264), Расходы на выплату пособия при сокращении (266)</t>
  </si>
  <si>
    <t>Расходы на выплату 3 дн. б/л уволенным работникам в течение 30 к.дн после расторжения трудового договора (264), Расходы на выплату пособия при сокращении (266), Расходы на выплату МП неработающим сотрудникам (296), Расходы на выплату МП членам семьи сотрудника (264)</t>
  </si>
  <si>
    <t>2212</t>
  </si>
  <si>
    <t>Акция 1ое сентября</t>
  </si>
  <si>
    <t xml:space="preserve">    выплата стипендий</t>
  </si>
  <si>
    <t>2220</t>
  </si>
  <si>
    <t>2221</t>
  </si>
  <si>
    <t>Муниципальная стипендия</t>
  </si>
  <si>
    <t xml:space="preserve">    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</si>
  <si>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2230</t>
  </si>
  <si>
    <t>нет</t>
  </si>
  <si>
    <t xml:space="preserve">     из них по источнику финансового обеспечения:
      </t>
  </si>
  <si>
    <t>2240</t>
  </si>
  <si>
    <t xml:space="preserve">  уплата налогов, сборов и иных платежей, всего</t>
  </si>
  <si>
    <t>2300</t>
  </si>
  <si>
    <t>2310</t>
  </si>
  <si>
    <t>2311</t>
  </si>
  <si>
    <t>Налог на имущество, Земельный налог</t>
  </si>
  <si>
    <t>2312</t>
  </si>
  <si>
    <t xml:space="preserve">    иные налоги (включаемые в состав расходов) в 
    бюджеты бюджетной системы Российской 
    Федерации, а также государственная пошлина</t>
  </si>
  <si>
    <t>2320</t>
  </si>
  <si>
    <t>2321</t>
  </si>
  <si>
    <t>Госуд.пошлина, Транспортный налог</t>
  </si>
  <si>
    <t>2322</t>
  </si>
  <si>
    <t xml:space="preserve">    уплата штрафов (в том числе 
    административных), пеней, иных платежей</t>
  </si>
  <si>
    <t>2330</t>
  </si>
  <si>
    <t>2331</t>
  </si>
  <si>
    <t>Пени (НДФЛ, Страховые взносы, Налог на имущество, землю) (292), Пени (несвоевременная оплата услуг по договорам) (293), Административные штрафы (295)</t>
  </si>
  <si>
    <t>2332</t>
  </si>
  <si>
    <t xml:space="preserve">  безвозмездные перечисления организациям и 
  физическим лицам, всего</t>
  </si>
  <si>
    <t>2400</t>
  </si>
  <si>
    <t>2410</t>
  </si>
  <si>
    <t xml:space="preserve">    взносы в международные организации</t>
  </si>
  <si>
    <t>2420</t>
  </si>
  <si>
    <t xml:space="preserve">    платежи в целях обеспечения реализации 
    соглашений с правительствами иностранных 
    государств и международными организациями</t>
  </si>
  <si>
    <t>2430</t>
  </si>
  <si>
    <t xml:space="preserve">  прочие выплаты (кроме выплат на закупку 
  товаров, работ, услуг)</t>
  </si>
  <si>
    <t>2500</t>
  </si>
  <si>
    <t xml:space="preserve">   исполнение судебных актов Российской 
   Федерации и мировых соглашений по 
   возмещению вреда, причиненного в результате 
   деятельности учреждения</t>
  </si>
  <si>
    <t>2520</t>
  </si>
  <si>
    <t>2521</t>
  </si>
  <si>
    <t>Возмещение судебных расходов (Госпошлины) (291), Административный штраф</t>
  </si>
  <si>
    <t xml:space="preserve">     поступления от оказания услуг (выполнения 
     работ) на платной основе и от иной 
     приносящей доход деятельности</t>
  </si>
  <si>
    <t>2522</t>
  </si>
  <si>
    <t xml:space="preserve">  расходы на закупку товаров, работ, услуг, всего</t>
  </si>
  <si>
    <t>2600</t>
  </si>
  <si>
    <t xml:space="preserve">   в том числе: 
    закупку научно-исследовательских и опытно-
    конструкторских работ</t>
  </si>
  <si>
    <t>2610</t>
  </si>
  <si>
    <t>2611</t>
  </si>
  <si>
    <t>2612</t>
  </si>
  <si>
    <t>2613</t>
  </si>
  <si>
    <t xml:space="preserve">    закупку товаров, работ, услуг в целях 
    капитального ремонта муниципального 
    имущества</t>
  </si>
  <si>
    <t>2630</t>
  </si>
  <si>
    <t>2631</t>
  </si>
  <si>
    <t>222, 224, 225, 226, 228, 310, 344, 346, 352, 353</t>
  </si>
  <si>
    <t xml:space="preserve">  прочую закупку товаров, работ и услуг, всего</t>
  </si>
  <si>
    <t>2640</t>
  </si>
  <si>
    <t>2641</t>
  </si>
  <si>
    <t xml:space="preserve">        увеличение стоимости основных средств</t>
  </si>
  <si>
    <t xml:space="preserve">        увеличение стоимости материальных запасов</t>
  </si>
  <si>
    <t>2642</t>
  </si>
  <si>
    <t xml:space="preserve">    целевые субсидии</t>
  </si>
  <si>
    <t>Выплаты, уменьшающие доход, всего</t>
  </si>
  <si>
    <t>3000</t>
  </si>
  <si>
    <t>3010</t>
  </si>
  <si>
    <t>Указывается с минусом</t>
  </si>
  <si>
    <t>3020</t>
  </si>
  <si>
    <t>3030</t>
  </si>
  <si>
    <t>Прочие выплаты, всего</t>
  </si>
  <si>
    <t>4000</t>
  </si>
  <si>
    <t>Все прочие выплаты, в т.ч. выбытия в рамках внутренних расчетов (головному учреждению, обособленному подразделению, филиалу)</t>
  </si>
  <si>
    <t xml:space="preserve"> из них: 
  возврат в бюджет средств субсидии</t>
  </si>
  <si>
    <t>4010</t>
  </si>
  <si>
    <t>Из строки 4000 выделяем возврат в бюджет средств субсидии</t>
  </si>
  <si>
    <t>Раздел 2. Сведения по выплатам на закупки товаров, работ, услуг</t>
  </si>
  <si>
    <t>N п/п</t>
  </si>
  <si>
    <t>Коды строк</t>
  </si>
  <si>
    <t>Год начала закупки</t>
  </si>
  <si>
    <t>1.</t>
  </si>
  <si>
    <t>Выплаты на закупку товаров, работ, услуг, всего</t>
  </si>
  <si>
    <t>1.1.</t>
  </si>
  <si>
    <t>до начала текущего года</t>
  </si>
  <si>
    <t>1.2.</t>
  </si>
  <si>
    <t>в текущем году, первом, втором году планового периода, за пределами планового периода</t>
  </si>
  <si>
    <t>1.3.</t>
  </si>
  <si>
    <t xml:space="preserve">     в том числе: 
      в соответствии с Федеральным законом № 44-ФЗ</t>
  </si>
  <si>
    <t xml:space="preserve">      в соответствии с Федеральным законом № 223-ФЗ</t>
  </si>
  <si>
    <t>1.4.</t>
  </si>
  <si>
    <t>1.4.1.</t>
  </si>
  <si>
    <t xml:space="preserve">   в том числе: 
    за счет субсидий, предоставляемых на финансовое 
    обеспечение выполнения муниципального задания</t>
  </si>
  <si>
    <t>1.4.1.1.</t>
  </si>
  <si>
    <t>1.4.1.2.</t>
  </si>
  <si>
    <t>1.4.2.</t>
  </si>
  <si>
    <t>1.4.2.1.</t>
  </si>
  <si>
    <t>1.4.2.2.</t>
  </si>
  <si>
    <t>1.4.3.</t>
  </si>
  <si>
    <t>44-фз</t>
  </si>
  <si>
    <t>1.4.4.</t>
  </si>
  <si>
    <t xml:space="preserve">    за счет прочих источников финансового обеспечения</t>
  </si>
  <si>
    <t>1.4.4.1.</t>
  </si>
  <si>
    <t>1.4.4.2.</t>
  </si>
  <si>
    <t>2.</t>
  </si>
  <si>
    <t>ПГ 
в текущем году, первом, втором году планового периода, за пределами планового периода</t>
  </si>
  <si>
    <t xml:space="preserve"> в том числе по году начала закупки:
  текущий финансовый год</t>
  </si>
  <si>
    <t xml:space="preserve">  первый год планового периода</t>
  </si>
  <si>
    <t xml:space="preserve">  второй год планового периода</t>
  </si>
  <si>
    <t>3.</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</si>
  <si>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</si>
  <si>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Руководитель финансово-экономической службы</t>
  </si>
  <si>
    <t xml:space="preserve">(должность)  </t>
  </si>
  <si>
    <t xml:space="preserve"> (подпись)  </t>
  </si>
  <si>
    <t>(расшифровка подписи)</t>
  </si>
  <si>
    <t>Исполнитель</t>
  </si>
  <si>
    <t xml:space="preserve">(должность)   </t>
  </si>
  <si>
    <t xml:space="preserve">(фамилия, инициалы)   </t>
  </si>
  <si>
    <t xml:space="preserve"> (телефон)</t>
  </si>
  <si>
    <t>проверка</t>
  </si>
  <si>
    <t>26300, 26400</t>
  </si>
  <si>
    <t>Утверждено плановых назначений</t>
  </si>
  <si>
    <t>НЗ/ТР/ГПН</t>
  </si>
  <si>
    <t>ЭКР</t>
  </si>
  <si>
    <t>КВР</t>
  </si>
  <si>
    <t>Всего утверждено плановых назначений (Выбытия), руб.</t>
  </si>
  <si>
    <t>Утверждено (Поступления), руб.</t>
  </si>
  <si>
    <t>Остатки на ЛС, руб.</t>
  </si>
  <si>
    <t>ИТОГО МЗ</t>
  </si>
  <si>
    <t>МЗ</t>
  </si>
  <si>
    <t>Местный бюджет</t>
  </si>
  <si>
    <t xml:space="preserve"> - заработная плата</t>
  </si>
  <si>
    <t>011</t>
  </si>
  <si>
    <t>111</t>
  </si>
  <si>
    <t>211</t>
  </si>
  <si>
    <t xml:space="preserve"> - 3 дн б/л за счет работодателя</t>
  </si>
  <si>
    <t>266</t>
  </si>
  <si>
    <t xml:space="preserve"> - пособие по уходу за ребенком</t>
  </si>
  <si>
    <t>НЗ</t>
  </si>
  <si>
    <t>999</t>
  </si>
  <si>
    <t>112</t>
  </si>
  <si>
    <t xml:space="preserve"> - предварительный мед.осмотр (возм.расх.)</t>
  </si>
  <si>
    <t>226</t>
  </si>
  <si>
    <t xml:space="preserve"> - выходное пособие</t>
  </si>
  <si>
    <t xml:space="preserve"> - начисления на оплату труда</t>
  </si>
  <si>
    <t>013</t>
  </si>
  <si>
    <t>119</t>
  </si>
  <si>
    <t>213</t>
  </si>
  <si>
    <t xml:space="preserve"> - услуги связи, всего:</t>
  </si>
  <si>
    <t>244</t>
  </si>
  <si>
    <t>221</t>
  </si>
  <si>
    <t xml:space="preserve">   в том числе:
    - услуги связи (без интернета)</t>
  </si>
  <si>
    <t>021</t>
  </si>
  <si>
    <t xml:space="preserve">    - интернет </t>
  </si>
  <si>
    <t xml:space="preserve"> - транспортные расходы</t>
  </si>
  <si>
    <t>222</t>
  </si>
  <si>
    <t xml:space="preserve"> - коммунальные расходы (без ЖБО)</t>
  </si>
  <si>
    <t>023</t>
  </si>
  <si>
    <t>223</t>
  </si>
  <si>
    <t xml:space="preserve">    - ЖБО </t>
  </si>
  <si>
    <t>923</t>
  </si>
  <si>
    <t xml:space="preserve"> - арендная плата </t>
  </si>
  <si>
    <t>224</t>
  </si>
  <si>
    <t xml:space="preserve"> - услуги по содержанию имущества, всего:</t>
  </si>
  <si>
    <t>225</t>
  </si>
  <si>
    <t xml:space="preserve">   в том числе:
    - дезинфекция</t>
  </si>
  <si>
    <t>022</t>
  </si>
  <si>
    <t>ТР</t>
  </si>
  <si>
    <t xml:space="preserve">    - обслуживание тепловых завес, систем кондиционирования и вентиляции</t>
  </si>
  <si>
    <t>025</t>
  </si>
  <si>
    <t xml:space="preserve">    - аварийно-техническое обслуживание зданий</t>
  </si>
  <si>
    <t xml:space="preserve">    - содержание мест общего пользования (ПЖРЭТ)</t>
  </si>
  <si>
    <t xml:space="preserve">    - наружное освещение</t>
  </si>
  <si>
    <t xml:space="preserve">    - взносы на кап.ремонт</t>
  </si>
  <si>
    <t xml:space="preserve">    - то пожарно-охранной сигнализации</t>
  </si>
  <si>
    <t xml:space="preserve">    - поверка электросчетчиков</t>
  </si>
  <si>
    <t xml:space="preserve">    - поверка манометров</t>
  </si>
  <si>
    <t xml:space="preserve">    - ремонт автомобилей</t>
  </si>
  <si>
    <t xml:space="preserve">    - тех.обслуживание автомобилей</t>
  </si>
  <si>
    <t xml:space="preserve">    - вывоз ТКО</t>
  </si>
  <si>
    <t xml:space="preserve">    - заправка картриджей</t>
  </si>
  <si>
    <t>015</t>
  </si>
  <si>
    <t xml:space="preserve"> - прочие работы, услуги, всего:</t>
  </si>
  <si>
    <t xml:space="preserve">    - медосмотр</t>
  </si>
  <si>
    <t>026</t>
  </si>
  <si>
    <t xml:space="preserve">    - демеркуризация</t>
  </si>
  <si>
    <t xml:space="preserve">    - предрейсовый мед.осмотр</t>
  </si>
  <si>
    <t xml:space="preserve">    - повышение проф.мастерства у водителей</t>
  </si>
  <si>
    <t xml:space="preserve">    - автострахование</t>
  </si>
  <si>
    <t xml:space="preserve">    - программное обеспечение и сопровождение</t>
  </si>
  <si>
    <t xml:space="preserve">    - курсы повышения квалификации</t>
  </si>
  <si>
    <t xml:space="preserve"> - 3 дн.б/л уволенным сотрудникам</t>
  </si>
  <si>
    <t>321</t>
  </si>
  <si>
    <t>264</t>
  </si>
  <si>
    <t xml:space="preserve"> - прочие налоги и сборы</t>
  </si>
  <si>
    <t>991</t>
  </si>
  <si>
    <t>852</t>
  </si>
  <si>
    <t>291</t>
  </si>
  <si>
    <t xml:space="preserve"> - пеня</t>
  </si>
  <si>
    <t>853</t>
  </si>
  <si>
    <t xml:space="preserve"> - налог на имущество</t>
  </si>
  <si>
    <t>091</t>
  </si>
  <si>
    <t>851</t>
  </si>
  <si>
    <t xml:space="preserve"> - налог на землю</t>
  </si>
  <si>
    <t xml:space="preserve"> - увеличение стоимости основных средств</t>
  </si>
  <si>
    <t>310</t>
  </si>
  <si>
    <t xml:space="preserve"> - увеличение стоимости материальных запасов, всего:</t>
  </si>
  <si>
    <t>340</t>
  </si>
  <si>
    <t xml:space="preserve"> - ГСМ</t>
  </si>
  <si>
    <t>343</t>
  </si>
  <si>
    <t>346</t>
  </si>
  <si>
    <t xml:space="preserve"> - расходные материалы к комп.технике</t>
  </si>
  <si>
    <t xml:space="preserve"> - запчасти для а/м</t>
  </si>
  <si>
    <t>Профилактика терроризма</t>
  </si>
  <si>
    <t xml:space="preserve"> - обслуживание кнопки тревожной сигнализации</t>
  </si>
  <si>
    <t xml:space="preserve"> - обслуживание системы охранного телевидения</t>
  </si>
  <si>
    <t xml:space="preserve"> - установка (востановление) внешнего ограждения</t>
  </si>
  <si>
    <t xml:space="preserve"> - вневедомственная охрана</t>
  </si>
  <si>
    <t xml:space="preserve"> - лицензированная охрана</t>
  </si>
  <si>
    <t xml:space="preserve"> - установка видеонаблюдения</t>
  </si>
  <si>
    <t>Энергосбережение</t>
  </si>
  <si>
    <t xml:space="preserve"> - то приборов коммерческого учета</t>
  </si>
  <si>
    <t>ИТОГО ИЦ</t>
  </si>
  <si>
    <t>ИЦ</t>
  </si>
  <si>
    <t>ГПН</t>
  </si>
  <si>
    <t>КАП</t>
  </si>
  <si>
    <t>оплата работ, услуг</t>
  </si>
  <si>
    <t>Остаток средств на конец года, всего</t>
  </si>
  <si>
    <t>должно быть 0,00</t>
  </si>
  <si>
    <t>Приносящая доход деятельность</t>
  </si>
  <si>
    <t>Остаток средств на начало текущего финансового года, всего</t>
  </si>
  <si>
    <t xml:space="preserve"> в том числе:
  аутсорсинг</t>
  </si>
  <si>
    <t xml:space="preserve">  платные услуги</t>
  </si>
  <si>
    <t xml:space="preserve">  доходы от аренды</t>
  </si>
  <si>
    <t xml:space="preserve">  родительская плата на питание</t>
  </si>
  <si>
    <t xml:space="preserve">  возмещение коммунальных услуг</t>
  </si>
  <si>
    <t xml:space="preserve">  добровольные родительские пожертвования</t>
  </si>
  <si>
    <t xml:space="preserve">  от выбытий материальных запасов</t>
  </si>
  <si>
    <t xml:space="preserve">  доходы от штрафов, пеней, иных сумм принудительного изъятия</t>
  </si>
  <si>
    <t>Поступления, всего</t>
  </si>
  <si>
    <t>Налог на прибыль, всего</t>
  </si>
  <si>
    <t>НДС, всего</t>
  </si>
  <si>
    <t xml:space="preserve">  аутсорсинг</t>
  </si>
  <si>
    <t xml:space="preserve">  спонсорские средства</t>
  </si>
  <si>
    <t>ПДД</t>
  </si>
  <si>
    <r>
      <rPr>
        <b/>
        <sz val="11"/>
        <color rgb="FF0000CC"/>
        <rFont val="Times New Roman"/>
        <family val="1"/>
        <charset val="204"/>
      </rPr>
      <t>Реестр лимитов</t>
    </r>
    <r>
      <rPr>
        <sz val="11"/>
        <color theme="1"/>
        <rFont val="Times New Roman"/>
        <family val="1"/>
        <charset val="204"/>
      </rPr>
      <t xml:space="preserve"> (2600, 26000)</t>
    </r>
  </si>
  <si>
    <t>по контрактам (договорам), заключенным до начала года</t>
  </si>
  <si>
    <t>по контрактам (договорам), планируемым к заключению в соответствующем финансовом году</t>
  </si>
  <si>
    <t>без применения норм 44-фз, 223-фз (26100)</t>
  </si>
  <si>
    <t>с учетом требований 44-фз, 223-фз (26300)</t>
  </si>
  <si>
    <t>без применения норм 44-фз, 223-фз (26200)</t>
  </si>
  <si>
    <t>с учетом требований 44-фз, 223-фз (26400)</t>
  </si>
  <si>
    <t>223-фз</t>
  </si>
  <si>
    <r>
      <t xml:space="preserve">44-фз (26411,26421,26430,26451) </t>
    </r>
    <r>
      <rPr>
        <b/>
        <sz val="11"/>
        <color rgb="FF0000CC"/>
        <rFont val="Times New Roman"/>
        <family val="1"/>
        <charset val="204"/>
      </rPr>
      <t>ПГЗ</t>
    </r>
  </si>
  <si>
    <t>ПФХД</t>
  </si>
  <si>
    <t>Отклонение</t>
  </si>
  <si>
    <t>44-фз / 223-фз</t>
  </si>
  <si>
    <t xml:space="preserve">    - монтаж решетчатой металлической двери в тепловом узле</t>
  </si>
  <si>
    <t xml:space="preserve">    - переплет документов</t>
  </si>
  <si>
    <t xml:space="preserve"> - выплата МП неработающим пенсионерам</t>
  </si>
  <si>
    <t>296</t>
  </si>
  <si>
    <t xml:space="preserve"> - строительные материалы</t>
  </si>
  <si>
    <t xml:space="preserve"> - канцелярские товары</t>
  </si>
  <si>
    <t xml:space="preserve"> - хозяйственные товары, электрика</t>
  </si>
  <si>
    <t xml:space="preserve"> - бланки</t>
  </si>
  <si>
    <t xml:space="preserve"> - моющие</t>
  </si>
  <si>
    <t xml:space="preserve"> - новогодние подарки детям сотрудников</t>
  </si>
  <si>
    <t>349</t>
  </si>
  <si>
    <t xml:space="preserve">    - то видеонаблюдения</t>
  </si>
  <si>
    <t xml:space="preserve">    - дезинфекция</t>
  </si>
  <si>
    <t xml:space="preserve">    - лицензированная охрана</t>
  </si>
  <si>
    <t xml:space="preserve"> - кондиционеры</t>
  </si>
  <si>
    <t xml:space="preserve"> - мебель</t>
  </si>
  <si>
    <t xml:space="preserve"> - компьютерная техника</t>
  </si>
  <si>
    <t xml:space="preserve"> - оборудование</t>
  </si>
  <si>
    <t xml:space="preserve"> - инструмент и инвентарь</t>
  </si>
  <si>
    <t xml:space="preserve"> - новогодние подарки сотрудникам</t>
  </si>
  <si>
    <t xml:space="preserve">    - вневедомственная охрана</t>
  </si>
  <si>
    <t xml:space="preserve"> - жалюзи</t>
  </si>
  <si>
    <t xml:space="preserve">    - очистка кровли от снега</t>
  </si>
  <si>
    <t xml:space="preserve">    - ПО (СБИС)</t>
  </si>
  <si>
    <t xml:space="preserve"> - металлические входные двери</t>
  </si>
  <si>
    <t>Код по бюджетной классификации Российской Федерации</t>
  </si>
  <si>
    <t>всего</t>
  </si>
  <si>
    <t>в том числе:</t>
  </si>
  <si>
    <t>предыдущий план</t>
  </si>
  <si>
    <t>1420</t>
  </si>
  <si>
    <t>2123</t>
  </si>
  <si>
    <t xml:space="preserve">          (расшифровка подписи)</t>
  </si>
  <si>
    <t>44</t>
  </si>
  <si>
    <t>Возврат дебеторской задолженности прошлых лет</t>
  </si>
  <si>
    <t>1430</t>
  </si>
  <si>
    <t>4.1</t>
  </si>
  <si>
    <t xml:space="preserve">    за счет субсидий, предоставляемых в соответствии с 
    абзацем вторым пункта 1 статьи 78.1 Бюджетного 
    кодекса Российской Федерации</t>
  </si>
  <si>
    <t xml:space="preserve">       из них:</t>
  </si>
  <si>
    <t>26310.1</t>
  </si>
  <si>
    <t>26421.1</t>
  </si>
  <si>
    <t>1.3.1.</t>
  </si>
  <si>
    <t>1.3.2.</t>
  </si>
  <si>
    <t xml:space="preserve">     из них:</t>
  </si>
  <si>
    <t>26430.1</t>
  </si>
  <si>
    <t>26451.1</t>
  </si>
  <si>
    <t xml:space="preserve">    - сервисное обслуживание приборов тепла</t>
  </si>
  <si>
    <t>Сведения о поступлениях и выплатах денежных средств, для включения которых в показатели Плана не требуется формирование обоснований (расчетов) плановых показателей</t>
  </si>
  <si>
    <t>Поступления текущего финансового года, всего</t>
  </si>
  <si>
    <t>х</t>
  </si>
  <si>
    <t>в том числе:
штрафы</t>
  </si>
  <si>
    <t>140</t>
  </si>
  <si>
    <t>по решению суда</t>
  </si>
  <si>
    <t>возмещение ущерба (недостачи)</t>
  </si>
  <si>
    <t>пени, неустойки</t>
  </si>
  <si>
    <t>возврат дебиторской задолженности прошлых лет</t>
  </si>
  <si>
    <t>510</t>
  </si>
  <si>
    <t>прочие поступления денежных средств</t>
  </si>
  <si>
    <t>Выплаты, всего</t>
  </si>
  <si>
    <t>в том числе:
возврат в бюджет субсидий</t>
  </si>
  <si>
    <t>610</t>
  </si>
  <si>
    <t>прочие выбытия денежных средств</t>
  </si>
  <si>
    <t>оплата неисполненных обязательств прошлых лет</t>
  </si>
  <si>
    <t>штрафы</t>
  </si>
  <si>
    <t>возмещение ущерба</t>
  </si>
  <si>
    <t>исполнительные документы, решения суда</t>
  </si>
  <si>
    <t>831</t>
  </si>
  <si>
    <t>Обоснования (расчеты) плановых показателей по поступлениям доходов</t>
  </si>
  <si>
    <t xml:space="preserve">   в том числе:
    доходы, получаемые в виде арендной платы за передачу в возмездное
    пользование муниципального имущества</t>
  </si>
  <si>
    <t>арендная плата*кол-во мес.</t>
  </si>
  <si>
    <t xml:space="preserve">   в том числе:
    доходы от поступлений субсидий на финансовое обеспечение 
    выполнения муниципального задания</t>
  </si>
  <si>
    <t>плата (тариф) за единицу услуги (работы)*планируемый объем оказания услуг (выполнения работ)</t>
  </si>
  <si>
    <t xml:space="preserve">    доходы от оказания платных услуг (работ)</t>
  </si>
  <si>
    <t xml:space="preserve">    доходы от возмещения затрат по оплате коммунальных услуг, а также
    услуг по эксплуатации и хозяйственному обслуживанию арендуемого 
    здания</t>
  </si>
  <si>
    <t>без расчета (в рекомендуемых формах только объем планируемых поступлений)</t>
  </si>
  <si>
    <t xml:space="preserve">   в том числе:
    пожертвования</t>
  </si>
  <si>
    <t xml:space="preserve">    субсидии, предоставляемые в соответствии с абзацем вторым пункта
    1 статьи 78.1 Бюджетного кодекса Российской Федерации</t>
  </si>
  <si>
    <t xml:space="preserve">   в том числе:
    субсидии, предоставляемые в соответствии с абзацем вторым пункта
    1 статьи 78.1 Бюджетного кодекса Российской Федерации</t>
  </si>
  <si>
    <t xml:space="preserve">    субсидии на осуществление капитальных вложений</t>
  </si>
  <si>
    <t xml:space="preserve">   в том числе:
    поступления от реализации макулатуры</t>
  </si>
  <si>
    <t>цена*кол-во</t>
  </si>
  <si>
    <t xml:space="preserve">    поступления от реализации лома черных металлов</t>
  </si>
  <si>
    <t xml:space="preserve">    поступления от реализации лома цветных металлов</t>
  </si>
  <si>
    <t>Доходы, получаемые в виде арендной платы за передачу в возмездное пользование муниципального имущества</t>
  </si>
  <si>
    <t>Размер арендной платы за объект</t>
  </si>
  <si>
    <t>Планируемый объем предоставления имущества в аренду</t>
  </si>
  <si>
    <t>Объем планируемых поступлений</t>
  </si>
  <si>
    <t>расчет по каждому договору аренды</t>
  </si>
  <si>
    <t>Итого</t>
  </si>
  <si>
    <t>Доходы от поступлений субсидий на финансовое обеспечение выполнения муниципального задания</t>
  </si>
  <si>
    <t>Размер платы за единицу услуги (выполнения работы)</t>
  </si>
  <si>
    <t>Планируемый объем оказания услуг (выполнения работ)</t>
  </si>
  <si>
    <t>Общий объем планируемых поступлений</t>
  </si>
  <si>
    <t>расчет по каждой услуге в соответствии с муниципальным заданием</t>
  </si>
  <si>
    <t>Доходы от оказания платных услуг (работ)</t>
  </si>
  <si>
    <t>расчет по каждой оказываемой услуге</t>
  </si>
  <si>
    <t>Доходы от возмещения затрат по оплате коммунальных услуг, а также услуг по эксплуатации и хозяйственному обслуживанию арендуемого здания</t>
  </si>
  <si>
    <t>расчет по каждому договору возмещения затрат</t>
  </si>
  <si>
    <t>Пожертвования</t>
  </si>
  <si>
    <t>Пожертвования, всего</t>
  </si>
  <si>
    <t xml:space="preserve"> в том числе:
  пожертвования юридических лиц</t>
  </si>
  <si>
    <t xml:space="preserve">  пожертвования физических лиц</t>
  </si>
  <si>
    <t>Субсидии, предоставляемые в соответствии с абзацем вторым пункта 1 статьи 78.1 Бюджетного кодекса Российской Федерации</t>
  </si>
  <si>
    <t xml:space="preserve">отдельно по каждому постановлению </t>
  </si>
  <si>
    <t>Доходы от операций с активами</t>
  </si>
  <si>
    <t>Поступления от реализации макулатуры</t>
  </si>
  <si>
    <t>Поступления от реализации лома черных металлов</t>
  </si>
  <si>
    <t>Поступления от реализации лома цветных металлов</t>
  </si>
  <si>
    <t>Обоснования (расчеты) плановых показателей по фонду оплаты труда и страховых взносов на обязательное социальное страхование</t>
  </si>
  <si>
    <t>Объем расходов</t>
  </si>
  <si>
    <t>фонд оплаты труда в год</t>
  </si>
  <si>
    <t>страховые взносы в государственные внебюджетные фонды</t>
  </si>
  <si>
    <t>заработная плата</t>
  </si>
  <si>
    <t>оплата дней временной нетрудоспособности за счет средств работодателя</t>
  </si>
  <si>
    <t xml:space="preserve">Субсидии на финансовое обеспечение выполнения муниципального задания </t>
  </si>
  <si>
    <t>Оказание услуг (выполнение работ) на платной основе</t>
  </si>
  <si>
    <t>Целевые субсидии</t>
  </si>
  <si>
    <t xml:space="preserve">Расчет фонда оплаты труда </t>
  </si>
  <si>
    <t>расчет фонда по трудоустройству подростков составляем отдельно</t>
  </si>
  <si>
    <t>Категория должностей</t>
  </si>
  <si>
    <t>Установленная численность, ед</t>
  </si>
  <si>
    <t>Среднемесячный размер оплаты труда на одного работника, руб.</t>
  </si>
  <si>
    <t>Оплата дней временной нетрудоспособности за счет средств работодателя в год, руб.</t>
  </si>
  <si>
    <t>Фонд оплаты труда в год, руб.</t>
  </si>
  <si>
    <t>в том числе</t>
  </si>
  <si>
    <t>по должностному окладу</t>
  </si>
  <si>
    <t>по выплатам компенсационного характера</t>
  </si>
  <si>
    <t>по выплатам стимулирующего характера</t>
  </si>
  <si>
    <t>районный коэффициент</t>
  </si>
  <si>
    <t>коэффициент</t>
  </si>
  <si>
    <t>сумма</t>
  </si>
  <si>
    <t>АУП</t>
  </si>
  <si>
    <t>Педагогический персонал, осуществляющий учебный процесс</t>
  </si>
  <si>
    <t>Прочий педагогический персонал</t>
  </si>
  <si>
    <t>Учебно-вспомогательный персонал</t>
  </si>
  <si>
    <t>Обслуживающий персонал</t>
  </si>
  <si>
    <t>Расчет страховых взносов на обязательное социальное страхование</t>
  </si>
  <si>
    <t>Размер базы для начисления страховых взносов</t>
  </si>
  <si>
    <t>Сумма взноса</t>
  </si>
  <si>
    <t>Страховые взносы на обязательное социальное страхование от несчастных случаев на производстве и профессиональных заболеваний по установленному тарифу</t>
  </si>
  <si>
    <t xml:space="preserve"> в том числе: 
  обязательное социальное страхование от несчастных
  случаев на производстве и профессиональных
  заболеваний по ставке 0,2 %</t>
  </si>
  <si>
    <t xml:space="preserve">  обязательное социальное страхование от несчастных
  случаев на производстве и профессиональных
  заболеваний по ставке**</t>
  </si>
  <si>
    <t>Уточнение расчета по страховым взносам на обязательное социальное страхование, всего</t>
  </si>
  <si>
    <t xml:space="preserve"> в том числе:
  корректировка округления</t>
  </si>
  <si>
    <t xml:space="preserve">  корректировка в связи с регрессом по страховым взносам</t>
  </si>
  <si>
    <t>Обоснования (расчеты) плановых показателей по расходам компенсационного характера персоналу, за исключением фонда оплаты труда, по расходам в части уплаты налога на имущество и земельного налога, по расходам в части уплаты прочих налогов и сборов, по расходам на закупку товаров, работ, услуг</t>
  </si>
  <si>
    <t>текущий финансовый год</t>
  </si>
  <si>
    <t>Расходы, ВСЕГО</t>
  </si>
  <si>
    <t>субсидии на финансовое обеспечение 
    выполнения муниципального задания 
    за счет средств бюджета публично-правового 
    образования, создавшего учреждение</t>
  </si>
  <si>
    <t xml:space="preserve">    оказание услуг (выполнение 
    работ) на платной основе и от иной 
    приносящей доход деятельности</t>
  </si>
  <si>
    <t>Иные выплаты персоналу учреждений, за исключением фонда оплаты труда</t>
  </si>
  <si>
    <t xml:space="preserve"> пособие по уходу за ребенком до 3-х лет</t>
  </si>
  <si>
    <t>кол-во чел.</t>
  </si>
  <si>
    <t>*</t>
  </si>
  <si>
    <t>руб.</t>
  </si>
  <si>
    <t xml:space="preserve"> командировочные расходы (проживание, проезд, суточные)</t>
  </si>
  <si>
    <t xml:space="preserve"> выходное пособие при увольнении, не связанном с ликвидацией либо реорганизацией </t>
  </si>
  <si>
    <t xml:space="preserve"> кредиторская задолженность</t>
  </si>
  <si>
    <t>Иные выплаты, за исключением фонда оплаты труда учреждений, лицам,привлекаемым согласно законодательству для выполнения отдельных полномочий</t>
  </si>
  <si>
    <t>Пособия, компенсации и иные выплаты гражданам, кроме публичных нормативных обязательств</t>
  </si>
  <si>
    <t>кол-во планируемых выплат в год*размер выплат</t>
  </si>
  <si>
    <t xml:space="preserve"> оплата 3-х дней больничного листа</t>
  </si>
  <si>
    <t xml:space="preserve"> выплата материальной помощи неработающим сотрудникам</t>
  </si>
  <si>
    <t xml:space="preserve"> выплата материальной помощи членам семьи сотрудников</t>
  </si>
  <si>
    <t xml:space="preserve"> выплата пособия при сокращении</t>
  </si>
  <si>
    <t>чел.</t>
  </si>
  <si>
    <t>Уплата налога на имущество организаций и земельного налога</t>
  </si>
  <si>
    <t xml:space="preserve">  налог на имущество:</t>
  </si>
  <si>
    <t>объект налогообложения, ставка налога, порядок и сроки уплаты</t>
  </si>
  <si>
    <t xml:space="preserve">   недвижимое имущество</t>
  </si>
  <si>
    <t>%</t>
  </si>
  <si>
    <t xml:space="preserve">   движимое имущество</t>
  </si>
  <si>
    <t xml:space="preserve">  земельный налог:</t>
  </si>
  <si>
    <t>ул.</t>
  </si>
  <si>
    <t>, дом</t>
  </si>
  <si>
    <t>кв.м.</t>
  </si>
  <si>
    <t>Уплата прочих налогов и сборов</t>
  </si>
  <si>
    <t xml:space="preserve">  регистрация прав на недвижимое имущество</t>
  </si>
  <si>
    <t xml:space="preserve">  подготовка распоряжения и оформление документов в юстиции</t>
  </si>
  <si>
    <t xml:space="preserve">  изготовление техпаспорта</t>
  </si>
  <si>
    <t xml:space="preserve">  госпошлина за внесение изменений в устав</t>
  </si>
  <si>
    <t xml:space="preserve">  транспортный налог:</t>
  </si>
  <si>
    <t>марка и модель ТС</t>
  </si>
  <si>
    <t>тип ТС</t>
  </si>
  <si>
    <t>дата рег-ии</t>
  </si>
  <si>
    <t>мес на балансе уч-я</t>
  </si>
  <si>
    <t>мощность двиг-ля</t>
  </si>
  <si>
    <t>л/с</t>
  </si>
  <si>
    <t>R коэф-т</t>
  </si>
  <si>
    <t>Прочая закупка товаров, работ, услуг</t>
  </si>
  <si>
    <t xml:space="preserve"> услуги связи</t>
  </si>
  <si>
    <t xml:space="preserve">количество абонентских номеров, подключенных к сети связи, </t>
  </si>
  <si>
    <t xml:space="preserve">   телефон </t>
  </si>
  <si>
    <t xml:space="preserve">цены услуг связи, ежемесячную абонентскую плату в расчете на один </t>
  </si>
  <si>
    <t xml:space="preserve">    декабрь</t>
  </si>
  <si>
    <t>кол-во мин.</t>
  </si>
  <si>
    <t>абонентский номер, количество месяцев предоставления услуги; размер</t>
  </si>
  <si>
    <t xml:space="preserve">    январь-ноябрь </t>
  </si>
  <si>
    <t>повременной оплаты междугородних, международных и местных</t>
  </si>
  <si>
    <t xml:space="preserve">телефонных соединений, а также стоимость услуг при повременной оплате </t>
  </si>
  <si>
    <t xml:space="preserve">кол-во ап-тов </t>
  </si>
  <si>
    <t>услуг телефонной связи</t>
  </si>
  <si>
    <t xml:space="preserve">   абонентская плата</t>
  </si>
  <si>
    <t xml:space="preserve">   техобслуживание</t>
  </si>
  <si>
    <t xml:space="preserve">   техобслуживание параллельных аппаратов</t>
  </si>
  <si>
    <t xml:space="preserve"> интернет  </t>
  </si>
  <si>
    <t xml:space="preserve"> прочие:</t>
  </si>
  <si>
    <t xml:space="preserve">  конверты, почтовые отправления</t>
  </si>
  <si>
    <t>шт.</t>
  </si>
  <si>
    <t>кол-во*стоимость</t>
  </si>
  <si>
    <t xml:space="preserve">  видеонаблюдение</t>
  </si>
  <si>
    <t>руб.*</t>
  </si>
  <si>
    <t>час.</t>
  </si>
  <si>
    <t xml:space="preserve"> оплата отопления  и технологических нужд</t>
  </si>
  <si>
    <t xml:space="preserve">с учетом количества объектов, тарифов на оказание коммунальных услуг </t>
  </si>
  <si>
    <t xml:space="preserve">(в том числе с учетом применяемого одноставочного, дифференцированного </t>
  </si>
  <si>
    <t>гк.*</t>
  </si>
  <si>
    <t>руб.+</t>
  </si>
  <si>
    <t xml:space="preserve">м3. * </t>
  </si>
  <si>
    <t xml:space="preserve">по зонам суток или двухставочного тарифа на электроэнергию), расчетной </t>
  </si>
  <si>
    <t xml:space="preserve">    январь-июнь</t>
  </si>
  <si>
    <t>потребности планового потребления услуг и затраты на транспортировку</t>
  </si>
  <si>
    <t xml:space="preserve">    июль-ноябрь</t>
  </si>
  <si>
    <t>топлива (при наличии)</t>
  </si>
  <si>
    <t xml:space="preserve"> оплата потребления электрической энергии</t>
  </si>
  <si>
    <t xml:space="preserve">кв/час </t>
  </si>
  <si>
    <t xml:space="preserve"> оплата водоснабжения помещений</t>
  </si>
  <si>
    <t xml:space="preserve">   водоснабжение</t>
  </si>
  <si>
    <t>куб.м.</t>
  </si>
  <si>
    <t xml:space="preserve">   водоотведение</t>
  </si>
  <si>
    <t>Арендная плата за  пользование имуществом</t>
  </si>
  <si>
    <t>арендуевая площадь*цена*кол-во месяцев</t>
  </si>
  <si>
    <t xml:space="preserve"> оплата содержания помещений</t>
  </si>
  <si>
    <t xml:space="preserve">с учетом планов ремонтных работ и их сметной стоимости, определенной </t>
  </si>
  <si>
    <t xml:space="preserve">с учетом необходимого объема ремонтных работ, графика </t>
  </si>
  <si>
    <t xml:space="preserve">регламентно-профилактических работ по ремонту оборудования, </t>
  </si>
  <si>
    <t>куб.м. в мес.</t>
  </si>
  <si>
    <t xml:space="preserve">требований к санитарно-гигиеническому обслуживанию, охране труда </t>
  </si>
  <si>
    <t xml:space="preserve">(включая уборку помещений и территории, вывоз твердых бытовых отходов, </t>
  </si>
  <si>
    <t>раб.мест</t>
  </si>
  <si>
    <t xml:space="preserve">  дезинфекция всего:</t>
  </si>
  <si>
    <t xml:space="preserve">  обслуживание кнопки тревожной сигнализации</t>
  </si>
  <si>
    <t xml:space="preserve">кол-во усл.установок </t>
  </si>
  <si>
    <t>кол-во сч-ков</t>
  </si>
  <si>
    <t xml:space="preserve">  обслуживание тепловых завес, систем кондиционирования и вентиляции всего:</t>
  </si>
  <si>
    <t xml:space="preserve">   обслуживание кондиционеров</t>
  </si>
  <si>
    <t xml:space="preserve">   обслуживание приточной вентиляции</t>
  </si>
  <si>
    <t xml:space="preserve">   обслуживание вытяжной вентиляции</t>
  </si>
  <si>
    <t xml:space="preserve">  поверка счетчиков холодной воды</t>
  </si>
  <si>
    <t xml:space="preserve"> </t>
  </si>
  <si>
    <t xml:space="preserve">  поверка мед.оборудования</t>
  </si>
  <si>
    <t xml:space="preserve">  поверка манометров</t>
  </si>
  <si>
    <t xml:space="preserve">  поверка водосчетчиков</t>
  </si>
  <si>
    <t>шт.*</t>
  </si>
  <si>
    <t xml:space="preserve">  поверка преобразователей давления</t>
  </si>
  <si>
    <t xml:space="preserve">  испытание диэлектрических средств защиты</t>
  </si>
  <si>
    <t>гос.номер</t>
  </si>
  <si>
    <t>зданий</t>
  </si>
  <si>
    <t xml:space="preserve"> противопожарные мероприятия</t>
  </si>
  <si>
    <t xml:space="preserve">  обслуживание пожарной сигнализации</t>
  </si>
  <si>
    <t xml:space="preserve">  огнезащитная обработка</t>
  </si>
  <si>
    <t xml:space="preserve">  гидравлические испытания пожарных рукавов</t>
  </si>
  <si>
    <t xml:space="preserve">  зарядка огнетушителей</t>
  </si>
  <si>
    <t xml:space="preserve">    январь-ноябрь</t>
  </si>
  <si>
    <t xml:space="preserve"> оплата текущего ремонта оборудования и инвентаря</t>
  </si>
  <si>
    <t xml:space="preserve">  текущий ремонт компьютерной техники</t>
  </si>
  <si>
    <t xml:space="preserve">  текущий ремонт оборудования</t>
  </si>
  <si>
    <t xml:space="preserve">  текущий ремонт автомобилей</t>
  </si>
  <si>
    <t xml:space="preserve"> мероприятия по исполнению предписаний Роспотребнадзора</t>
  </si>
  <si>
    <t xml:space="preserve"> текущий ремонт</t>
  </si>
  <si>
    <t xml:space="preserve">  замеры сопротивления электрических сетей</t>
  </si>
  <si>
    <t xml:space="preserve"> оплата прочих текущих услуг</t>
  </si>
  <si>
    <t xml:space="preserve">расчет расходов на оплату услуг и работ (медицинских осмотров, информационных </t>
  </si>
  <si>
    <t xml:space="preserve">  подписка на периодическую литературу</t>
  </si>
  <si>
    <t xml:space="preserve">услуг, консультационных услуг, экспертных услуг, научно-исследовательских работ, </t>
  </si>
  <si>
    <t xml:space="preserve">типографских работ) на основании расчетов необходимых выплат с учетом численности </t>
  </si>
  <si>
    <t xml:space="preserve">работников, потребности в информационных системах, количества проводимых экспертиз, </t>
  </si>
  <si>
    <t>количества приобретаемых печатных и иных периодических изданий</t>
  </si>
  <si>
    <t xml:space="preserve">  курсы повышения квалификации</t>
  </si>
  <si>
    <t xml:space="preserve">  специальная оценка условий труда</t>
  </si>
  <si>
    <t xml:space="preserve">  мониторинг охранно-пожарной сигнализации</t>
  </si>
  <si>
    <t xml:space="preserve">  лицензированная охрана</t>
  </si>
  <si>
    <t xml:space="preserve">  медосмотр</t>
  </si>
  <si>
    <t xml:space="preserve">   повт. мед. осмотр мужчин</t>
  </si>
  <si>
    <t xml:space="preserve">   повт. мед. осмотр женщин</t>
  </si>
  <si>
    <t xml:space="preserve">   предрейсовый осмотр водителей</t>
  </si>
  <si>
    <t xml:space="preserve">  демеркуризация</t>
  </si>
  <si>
    <t>ламп</t>
  </si>
  <si>
    <t xml:space="preserve"> оплата автострахования транспорта</t>
  </si>
  <si>
    <t xml:space="preserve"> приобретение оборудования  и  техники</t>
  </si>
  <si>
    <t>стоимость, определенная методом сопоставимых рыночных цен</t>
  </si>
  <si>
    <t xml:space="preserve">   приобретение компьютерной техники</t>
  </si>
  <si>
    <t xml:space="preserve">   приобретение мебели</t>
  </si>
  <si>
    <t xml:space="preserve"> приобретение инструмента и инвентаря</t>
  </si>
  <si>
    <t xml:space="preserve">   противопожарные средства</t>
  </si>
  <si>
    <t xml:space="preserve">   хозяйственный инвентарь</t>
  </si>
  <si>
    <t xml:space="preserve">   жалюзи</t>
  </si>
  <si>
    <t xml:space="preserve"> приобретение запасных частей</t>
  </si>
  <si>
    <t xml:space="preserve"> оплата спец.топлива и ГСМ</t>
  </si>
  <si>
    <t>л.(зима)*</t>
  </si>
  <si>
    <t>км.*</t>
  </si>
  <si>
    <t>л.(лето)*</t>
  </si>
  <si>
    <t xml:space="preserve"> мягкий инвентарь  </t>
  </si>
  <si>
    <t xml:space="preserve">   спец.одежда для младшего обслуживающего персонала</t>
  </si>
  <si>
    <t>оплата расходных материалов и предметов снабжения</t>
  </si>
  <si>
    <t xml:space="preserve">    канцелярские товары</t>
  </si>
  <si>
    <t xml:space="preserve">    хозяйственные товары</t>
  </si>
  <si>
    <t>кв.м. в мес.</t>
  </si>
  <si>
    <t>мес.</t>
  </si>
  <si>
    <t>шт. в мес.</t>
  </si>
  <si>
    <t xml:space="preserve">   моющие средства</t>
  </si>
  <si>
    <t xml:space="preserve">   прочие материальные запасы</t>
  </si>
  <si>
    <t xml:space="preserve"> строительные материалы</t>
  </si>
  <si>
    <t>ПРОВЕРКА</t>
  </si>
  <si>
    <t>113</t>
  </si>
  <si>
    <t>Приложение № 7  к плану финансово-хозяйственной деятельности</t>
  </si>
  <si>
    <t>Обоснования (расчеты) плановых расходов на осуществление капитальных вложений</t>
  </si>
  <si>
    <t>Объекты капитального строительства, всего</t>
  </si>
  <si>
    <t xml:space="preserve"> в том числе:
  </t>
  </si>
  <si>
    <t>Объекты недвижимого имущества, всего</t>
  </si>
  <si>
    <t>Заведующий отделом</t>
  </si>
  <si>
    <t>Главный специалист</t>
  </si>
  <si>
    <t xml:space="preserve">  вывоз ТКО</t>
  </si>
  <si>
    <t xml:space="preserve"> аренда контейнеров</t>
  </si>
  <si>
    <t>Количество платежей</t>
  </si>
  <si>
    <t xml:space="preserve">   виртуальная АТС</t>
  </si>
  <si>
    <t xml:space="preserve">    июль-ноябрь </t>
  </si>
  <si>
    <t xml:space="preserve">   дератизация (Дезинфекционная станция)</t>
  </si>
  <si>
    <t xml:space="preserve">   дезинсекция (Дезинфекционная станция)</t>
  </si>
  <si>
    <t xml:space="preserve">   дератизация (КузбассПрофДезинфекция)</t>
  </si>
  <si>
    <t xml:space="preserve">   дезинсекция (КузбассПрофДезинфекция)</t>
  </si>
  <si>
    <t xml:space="preserve">  содержание мест общего пользования (ПЖРЭТ)</t>
  </si>
  <si>
    <t xml:space="preserve">  взносы на кап.ремонт и ТО зданий региональному оператору</t>
  </si>
  <si>
    <t xml:space="preserve">  аварийно-техническое обслуживание </t>
  </si>
  <si>
    <t xml:space="preserve">  заправка и восстановление картриджей</t>
  </si>
  <si>
    <t xml:space="preserve">  ТО автотранспорта, тех.осмотр</t>
  </si>
  <si>
    <t xml:space="preserve">  сопровождение кассира</t>
  </si>
  <si>
    <t xml:space="preserve">  приобретение и обновление ПО и справоч-информ-ых баз данных</t>
  </si>
  <si>
    <t xml:space="preserve">  повышение профмастерства у водителей + производственный контроль</t>
  </si>
  <si>
    <t xml:space="preserve">  вневедомственная охрана (экстренный выезд нарядов полиции)</t>
  </si>
  <si>
    <t>Ворошилова</t>
  </si>
  <si>
    <t>18б</t>
  </si>
  <si>
    <t>Ленина</t>
  </si>
  <si>
    <t>пр-кт</t>
  </si>
  <si>
    <t>109в</t>
  </si>
  <si>
    <t>легковой</t>
  </si>
  <si>
    <t>легковой универсал</t>
  </si>
  <si>
    <t>1710,90</t>
  </si>
  <si>
    <t>Шахтеров</t>
  </si>
  <si>
    <t xml:space="preserve">    январь-август</t>
  </si>
  <si>
    <t>Стахановская</t>
  </si>
  <si>
    <t>2751,3</t>
  </si>
  <si>
    <t xml:space="preserve"> водоснабжение</t>
  </si>
  <si>
    <t xml:space="preserve"> ОДН</t>
  </si>
  <si>
    <t>энергосбережение</t>
  </si>
  <si>
    <t>антитеррор</t>
  </si>
  <si>
    <t xml:space="preserve">  поверка электросчетчиков</t>
  </si>
  <si>
    <t xml:space="preserve"> приобретение единых транспортных карт</t>
  </si>
  <si>
    <t>кол-во поездок</t>
  </si>
  <si>
    <t xml:space="preserve">  расчет категории помещений</t>
  </si>
  <si>
    <t>помещений</t>
  </si>
  <si>
    <t xml:space="preserve">  монтаж дверей</t>
  </si>
  <si>
    <t xml:space="preserve">   противопожарная дверь</t>
  </si>
  <si>
    <t xml:space="preserve">   противодымная дверь</t>
  </si>
  <si>
    <t xml:space="preserve">   решетчатая дверь</t>
  </si>
  <si>
    <t xml:space="preserve">  переплет документов</t>
  </si>
  <si>
    <t xml:space="preserve"> новогодние подарки сотрудникам</t>
  </si>
  <si>
    <t xml:space="preserve">   приобретение прочего оборудования</t>
  </si>
  <si>
    <t xml:space="preserve">   масло моторное</t>
  </si>
  <si>
    <t xml:space="preserve">   антифриз</t>
  </si>
  <si>
    <t>уп.</t>
  </si>
  <si>
    <t>м.</t>
  </si>
  <si>
    <t xml:space="preserve">    бланки</t>
  </si>
  <si>
    <t>кг.</t>
  </si>
  <si>
    <t>л.</t>
  </si>
  <si>
    <t>пар.</t>
  </si>
  <si>
    <t xml:space="preserve">  замена окон</t>
  </si>
  <si>
    <t>м.кв.</t>
  </si>
  <si>
    <t>Закупка энергетических ресурсов</t>
  </si>
  <si>
    <t>247</t>
  </si>
  <si>
    <t>расчет</t>
  </si>
  <si>
    <t>утверждено</t>
  </si>
  <si>
    <t>отклонение</t>
  </si>
  <si>
    <t>противопож.</t>
  </si>
  <si>
    <t xml:space="preserve">    - то приборов коммерческого учета</t>
  </si>
  <si>
    <t xml:space="preserve">    закупку энергетических ресурсов</t>
  </si>
  <si>
    <t>2660</t>
  </si>
  <si>
    <t>2661</t>
  </si>
  <si>
    <t>2662</t>
  </si>
  <si>
    <t>2663</t>
  </si>
  <si>
    <t>План финансово-хозяйственной деятельности</t>
  </si>
  <si>
    <t>344</t>
  </si>
  <si>
    <t>012</t>
  </si>
  <si>
    <t>ТЕР</t>
  </si>
  <si>
    <t xml:space="preserve">  ТО приборов коммерческого учета</t>
  </si>
  <si>
    <t>Э</t>
  </si>
  <si>
    <t xml:space="preserve">  ТО видеонаблюдения</t>
  </si>
  <si>
    <t xml:space="preserve">  ТО узла погодного регулирования</t>
  </si>
  <si>
    <t>НЗ / ТР / Э / ТЕР / ГПН</t>
  </si>
  <si>
    <t xml:space="preserve"> - спецодежда МОП</t>
  </si>
  <si>
    <t xml:space="preserve"> - прочие материальные запасы</t>
  </si>
  <si>
    <t xml:space="preserve"> новогодние подарки детям сотрудников</t>
  </si>
  <si>
    <t xml:space="preserve"> очистка кровли от снега</t>
  </si>
  <si>
    <t xml:space="preserve">   в том числе:
    - тек.ремонт (отопление, водопровод, электросетей)</t>
  </si>
  <si>
    <t>1806,71</t>
  </si>
  <si>
    <t>1710,9</t>
  </si>
  <si>
    <t xml:space="preserve"> - выплаты ув.сотрудникам и их родственникам (3 дн.б/л, МП)</t>
  </si>
  <si>
    <t>911 0000 00000 00000 000</t>
  </si>
  <si>
    <t>Увеличение остатков средств, всего</t>
  </si>
  <si>
    <t>Уменьшение остатков средств, всего</t>
  </si>
  <si>
    <t xml:space="preserve">   расходне материалы для комп. техники</t>
  </si>
  <si>
    <t xml:space="preserve">   мамография</t>
  </si>
  <si>
    <t xml:space="preserve">   отоларинголог</t>
  </si>
  <si>
    <t xml:space="preserve">   хирург</t>
  </si>
  <si>
    <t xml:space="preserve">    - содержание мест общего пользования (ПЖРЭТ), взносы на кап.ремонт</t>
  </si>
  <si>
    <t xml:space="preserve">  текущий ремонт кровли, крыльца</t>
  </si>
  <si>
    <t>341</t>
  </si>
  <si>
    <t xml:space="preserve"> аптечка первой помощи</t>
  </si>
  <si>
    <t xml:space="preserve">    - обслуживание кнопки тревожной сигнализации</t>
  </si>
  <si>
    <t xml:space="preserve">   плата за негативное воздействие на работу централизованной системы водоотведения</t>
  </si>
  <si>
    <t xml:space="preserve"> - ворота, калитка</t>
  </si>
  <si>
    <t xml:space="preserve">  асфальтирование территории</t>
  </si>
  <si>
    <t>228</t>
  </si>
  <si>
    <t>Приложение № 4  к плану финансово-хозяйственной деятельности</t>
  </si>
  <si>
    <t>345</t>
  </si>
  <si>
    <t xml:space="preserve">  ТО наружного освещения</t>
  </si>
  <si>
    <t xml:space="preserve">   ОП-4(з)</t>
  </si>
  <si>
    <t xml:space="preserve">   ОП-5(з)</t>
  </si>
  <si>
    <t xml:space="preserve">   ОУ-3</t>
  </si>
  <si>
    <t xml:space="preserve">   ОУ-5</t>
  </si>
  <si>
    <t xml:space="preserve">  средства социального страхования</t>
  </si>
  <si>
    <t xml:space="preserve">   ОП-8(з)</t>
  </si>
  <si>
    <t xml:space="preserve">    средства социального страхования</t>
  </si>
  <si>
    <t xml:space="preserve">    январь-май</t>
  </si>
  <si>
    <t xml:space="preserve">    июнь-ноябрь </t>
  </si>
  <si>
    <t xml:space="preserve">  установка видеонаблюдения, охранной сигнализации</t>
  </si>
  <si>
    <t>оплата труда (по решению суда)</t>
  </si>
  <si>
    <t>взносы по обязательному социальному 
страхованию на выплаты по оплате 
труда работников (по решению суда)</t>
  </si>
  <si>
    <t xml:space="preserve">    - монтаж (регулировка) дверей/окон</t>
  </si>
  <si>
    <t xml:space="preserve">   предоставление оборудования во временное пользование</t>
  </si>
  <si>
    <t xml:space="preserve">   сотовая и междугородняя связь</t>
  </si>
  <si>
    <t xml:space="preserve">   ООО "Е-Лайт-Телеком"</t>
  </si>
  <si>
    <t xml:space="preserve">    январь-март</t>
  </si>
  <si>
    <t>500</t>
  </si>
  <si>
    <t>кор.</t>
  </si>
  <si>
    <t>пачки</t>
  </si>
  <si>
    <t>пара. в мес.</t>
  </si>
  <si>
    <t>литр</t>
  </si>
  <si>
    <t xml:space="preserve">  тек.ремонт (отопление, водопровод, электросетей, заделка швов)</t>
  </si>
  <si>
    <t>Приложение № 2  к плану финансово-хозяйственной деятельности</t>
  </si>
  <si>
    <t>Приложение № 1  к плану финансово-хозяйственной деятельности</t>
  </si>
  <si>
    <t>Приложение № 3  к плану финансово-хозяйственной деятельности</t>
  </si>
  <si>
    <t xml:space="preserve">  поверка счетчиков ГВС</t>
  </si>
  <si>
    <t xml:space="preserve">    - мониторинг охранно-пожарной сигнализации</t>
  </si>
  <si>
    <t xml:space="preserve">    - монтаж охранно-пожарной сигнализации</t>
  </si>
  <si>
    <t>кол-во чел.*</t>
  </si>
  <si>
    <t xml:space="preserve"> предварительный мед.осмотр</t>
  </si>
  <si>
    <t xml:space="preserve"> - медикаменты</t>
  </si>
  <si>
    <t xml:space="preserve">    октябрь-ноябрь</t>
  </si>
  <si>
    <t xml:space="preserve">    - испытание диэлектрических средств защиты</t>
  </si>
  <si>
    <t xml:space="preserve">  монтаж уличного освещения</t>
  </si>
  <si>
    <t xml:space="preserve">    - гидравлические испытания пожарных рукавов</t>
  </si>
  <si>
    <t xml:space="preserve">    - монтаж уличного освещения</t>
  </si>
  <si>
    <t>2632</t>
  </si>
  <si>
    <t>Закупка товаров, работ, услуг в целях капитального ремонта государственного (муниципального) имущества</t>
  </si>
  <si>
    <t xml:space="preserve"> разработка проектно-сметной документации на капитальный ремонт крыши</t>
  </si>
  <si>
    <t xml:space="preserve">    - расчет проектно-сметной документации (ремонт крыльца, речевое оповещение)</t>
  </si>
  <si>
    <t xml:space="preserve">    - услуги автотранспорта (доставка строительных материалов, вывоз веток и пр.)</t>
  </si>
  <si>
    <t xml:space="preserve">  услуги автотранспорта (доставка строительных материалов, вывоз веток и пр.)</t>
  </si>
  <si>
    <t>243</t>
  </si>
  <si>
    <t xml:space="preserve"> - разработка проектно-сметной документации на капитальный ремонт крыши</t>
  </si>
  <si>
    <t xml:space="preserve">   ОП-2(з)</t>
  </si>
  <si>
    <t>031</t>
  </si>
  <si>
    <t xml:space="preserve">    - специальная оценка условий труда</t>
  </si>
  <si>
    <t xml:space="preserve"> услуги транспорта по доставке грузов</t>
  </si>
  <si>
    <t xml:space="preserve">  оценка профессиональных рисков</t>
  </si>
  <si>
    <t>м.куб.</t>
  </si>
  <si>
    <t xml:space="preserve">   регулировка дверей/окон</t>
  </si>
  <si>
    <t>2241</t>
  </si>
  <si>
    <t xml:space="preserve"> проверка работоспособности пожарного гидранта</t>
  </si>
  <si>
    <t xml:space="preserve"> приобретение материалов в целях создания основных средств</t>
  </si>
  <si>
    <t xml:space="preserve">    июнь-сентябрь</t>
  </si>
  <si>
    <t xml:space="preserve">    апрель-май</t>
  </si>
  <si>
    <t>58,28</t>
  </si>
  <si>
    <t>2221,08</t>
  </si>
  <si>
    <t>на 2023 г. текущий финансовый год</t>
  </si>
  <si>
    <t>на 2024 г. первый год планового периода</t>
  </si>
  <si>
    <t>на 2025 г. второй год планового периода</t>
  </si>
  <si>
    <t xml:space="preserve">                 О.В. Гусева</t>
  </si>
  <si>
    <t>3,02</t>
  </si>
  <si>
    <t>39,24</t>
  </si>
  <si>
    <t xml:space="preserve">    январь-февраль</t>
  </si>
  <si>
    <t xml:space="preserve">    март-ноябрь </t>
  </si>
  <si>
    <t>Заправка HP Q2612</t>
  </si>
  <si>
    <t>Заправка HP FX-10</t>
  </si>
  <si>
    <t>Заправка Canon</t>
  </si>
  <si>
    <t>Заправка HP CE278A</t>
  </si>
  <si>
    <t>Заправка HP CB 436A</t>
  </si>
  <si>
    <t>Заправка HP CB435A</t>
  </si>
  <si>
    <t>Заправка HP Q5949A</t>
  </si>
  <si>
    <t>Заправка HP CE505A</t>
  </si>
  <si>
    <t>Заправка HP Q7885A</t>
  </si>
  <si>
    <t xml:space="preserve">    январь-сентябрь</t>
  </si>
  <si>
    <t xml:space="preserve">    октябрь-ноябрь </t>
  </si>
  <si>
    <t>122</t>
  </si>
  <si>
    <t>922</t>
  </si>
  <si>
    <t>Страховые взносы на обязательное пенсионное страхование, на обязательное социальное страхование на случай временной нетрудоспособности и в связи с материнством, на обязательное медицинское страхование, всего</t>
  </si>
  <si>
    <t xml:space="preserve"> в том числе: 
  в пределах установленной единой предельной величины 
  базы для исчисления страховых взносов по тарифу 30,0 %</t>
  </si>
  <si>
    <t xml:space="preserve">  свыше установленной единой предельной величины 
  базы для исчисления страховых взносов по тарифу 15,1 %</t>
  </si>
  <si>
    <t xml:space="preserve">  с применением пониженных тарифов страховых взносов
  на для отдельных категорий плательщиков, всего</t>
  </si>
  <si>
    <t xml:space="preserve">   в том числе:  
    по тарифу*</t>
  </si>
  <si>
    <t xml:space="preserve">  с применением дополнительных тарифов страховых
  взносов для отдельных категорий плательщиков , всего</t>
  </si>
  <si>
    <t xml:space="preserve">  монтаж системы пожаротушения в помещениях архивов (452)</t>
  </si>
  <si>
    <t xml:space="preserve">  разработка проектно-сметной документации (ремонт крыльца, речевое оповещение, системы пожаротушения в помещениях архивов (452))</t>
  </si>
  <si>
    <t>9100</t>
  </si>
  <si>
    <t>8636,6</t>
  </si>
  <si>
    <t>8812,05</t>
  </si>
  <si>
    <t>6815,10</t>
  </si>
  <si>
    <t>6997,92</t>
  </si>
  <si>
    <t xml:space="preserve">  мытье окон снаружи здания</t>
  </si>
  <si>
    <t xml:space="preserve">    - текущий ремонт оборудования</t>
  </si>
  <si>
    <t xml:space="preserve">   турникет</t>
  </si>
  <si>
    <t xml:space="preserve">  обрезка/спил деревьев </t>
  </si>
  <si>
    <t xml:space="preserve"> - турникет</t>
  </si>
  <si>
    <t xml:space="preserve">    - текущий ремонт кровли, крыльца, заделка швов, асфальтирование территории</t>
  </si>
  <si>
    <t>292,
295,
293</t>
  </si>
  <si>
    <t xml:space="preserve">План финансово-хозяйственной деятельности на 20__г. </t>
  </si>
  <si>
    <t>на 20__ г. текущий финансовый год</t>
  </si>
  <si>
    <t>на 20__ г. первый год планового периода</t>
  </si>
  <si>
    <t>на 20__ г. второй год планового периода</t>
  </si>
  <si>
    <t xml:space="preserve">   из них:
    увеличение остатков денежных 
    средств за счет возврата дебиторской 
    задолженности прошлых лет</t>
  </si>
  <si>
    <t xml:space="preserve">   из них:
    налог на имущество организаций и земельный 
    налог</t>
  </si>
  <si>
    <t>на 20__ г. (текущий финансовый год)</t>
  </si>
  <si>
    <t>на 20__ г. (первый год планового периода)</t>
  </si>
  <si>
    <t>на 20__ г. (второй год планового периода)</t>
  </si>
  <si>
    <t xml:space="preserve">    за счет субсидий, предоставляемых в соответствии с 
    абзацем вторым пункта 1 статьи 78.1 Бюджетного кодекса 
    Российской Федерации</t>
  </si>
  <si>
    <t>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t>
  </si>
  <si>
    <t>/</t>
  </si>
  <si>
    <t xml:space="preserve">    «__» ________ 20__ г.</t>
  </si>
  <si>
    <t>«</t>
  </si>
  <si>
    <t>»</t>
  </si>
  <si>
    <t>г.</t>
  </si>
  <si>
    <t>заносим дату составления, утверждения, согласования ПФХД</t>
  </si>
  <si>
    <t>откленение (в 1 C)</t>
  </si>
  <si>
    <t>(должность руководителя отраслевого подразделения администрации города (органа, осуществляющего функции и полномочия учредителя)</t>
  </si>
  <si>
    <t>(должность руководителя муниципального учреждения)</t>
  </si>
  <si>
    <t>(подпись)          (расшифровка подписи)</t>
  </si>
  <si>
    <t>(подпись)         (расшифровка подписи)</t>
  </si>
  <si>
    <t xml:space="preserve">   в том числе:
    целевые субсидии</t>
  </si>
  <si>
    <t xml:space="preserve">   в том числе: </t>
  </si>
  <si>
    <t xml:space="preserve">     из них по источнику финансового обеспечения:</t>
  </si>
  <si>
    <t xml:space="preserve">       из них по источнику финансового 
       обеспечения:</t>
  </si>
  <si>
    <t xml:space="preserve">    иные выплаты населению</t>
  </si>
  <si>
    <t xml:space="preserve">   из них:
    гранты, предоставляемые бюджетным 
    учреждениям</t>
  </si>
  <si>
    <t xml:space="preserve">    гранты предоставляемые автономным 
    учреждениям</t>
  </si>
  <si>
    <t xml:space="preserve">    гранты, предоставляемые иным 
    некоммерческим организациям (за 
    исключением бюджетных и автономных 
    учреждений)</t>
  </si>
  <si>
    <t xml:space="preserve">    гранты, предоставляемые другим организациям 
    и физическим лицам</t>
  </si>
  <si>
    <t>2440</t>
  </si>
  <si>
    <t>2450</t>
  </si>
  <si>
    <t>2460</t>
  </si>
  <si>
    <t xml:space="preserve">  закупку энергетических ресурсов</t>
  </si>
  <si>
    <t xml:space="preserve">  капитальные вложения в объекты 
  государственной (муниципальной) 
  собственности, всего</t>
  </si>
  <si>
    <t>2700</t>
  </si>
  <si>
    <t>2710</t>
  </si>
  <si>
    <t>2720</t>
  </si>
  <si>
    <t xml:space="preserve">    строительство (реконструкция) объектов 
    недвижимого имущества государственными 
    (муниципальными) учреждениями</t>
  </si>
  <si>
    <t xml:space="preserve">   в том числе:
    приобретение объектов недвижимого 
    имущества государственными 
    (муниципальными) учреждениями</t>
  </si>
  <si>
    <t xml:space="preserve">      в том числе: 
       в соответствии с Федеральным законом № 44-ФЗ</t>
  </si>
  <si>
    <t>1.3.1</t>
  </si>
  <si>
    <t>1.3.2</t>
  </si>
  <si>
    <t xml:space="preserve">       в соответствии с Федеральным законом № 223-ФЗ</t>
  </si>
  <si>
    <t xml:space="preserve"> в том числе по году начала закупки:</t>
  </si>
  <si>
    <t>(на 20__г. и плановый период 20__ и 20__ годов &lt;1&gt;)</t>
  </si>
  <si>
    <t>«__»____________ 20__ г. &lt;2&gt;</t>
  </si>
  <si>
    <t>Код по бюджетной классификации Российской Федерации &lt;3&gt;</t>
  </si>
  <si>
    <t>Аналитический код &lt;4&gt;</t>
  </si>
  <si>
    <t>Остаток средств на начало текущего финансового года &lt;5&gt;</t>
  </si>
  <si>
    <t>Остаток средств на конец текущего финансового года &lt;5&gt;</t>
  </si>
  <si>
    <t xml:space="preserve">  прочие поступления, всего &lt;6&gt;</t>
  </si>
  <si>
    <t xml:space="preserve">  расходы на закупку товаров, работ, услуг, всего 
  &lt;7&gt;</t>
  </si>
  <si>
    <t>Выплаты, уменьшающие доход, всего &lt;8&gt;</t>
  </si>
  <si>
    <t xml:space="preserve"> в том числе:
  налог на прибыль &lt;8&gt;</t>
  </si>
  <si>
    <t xml:space="preserve">  налог на добавленную стоимость &lt;8&gt;</t>
  </si>
  <si>
    <t xml:space="preserve">  прочие налоги, уменьшающие доход &lt;8&gt;</t>
  </si>
  <si>
    <t>Прочие выплаты, всего &lt;9&gt;</t>
  </si>
  <si>
    <t>&lt;1&gt; В случае утверждения решения о бюджете на текущий финансовый год и плановый период.</t>
  </si>
  <si>
    <t>&lt;2&gt; Указывается дата подписания Плана.</t>
  </si>
  <si>
    <t>&lt;3&gt; В графе 3 отражаются:</t>
  </si>
  <si>
    <t>по строкам 1100 - 1900 - коды аналитической группы подвида доходов бюджетов классификации доходов бюджетов;</t>
  </si>
  <si>
    <t>по строкам 1980 - 1990 - коды аналитической группы вида источников финансирования дефицитов бюджетов классификации источников финансирования дефицитов бюджетов;</t>
  </si>
  <si>
    <t>по строкам 2000 - 2720 - коды видов расходов бюджетов классификации расходов бюджетов;</t>
  </si>
  <si>
    <t>по строкам 3000 - 3030 -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</si>
  <si>
    <t>по строкам 4000 - 4040 - коды аналитической группы вида источников финансирования дефицитов бюджетов классификации источников финансирования дефицитов бюджетов.</t>
  </si>
  <si>
    <t>&lt;4&gt; 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29.11.2017 N 209н.</t>
  </si>
  <si>
    <t>&lt;5&gt; По строкам 0001 и 0002 указываются планируемые суммы остатков средств на начало и на конец планируемого года (на этапе формирования проекта Плана), фактические остатки средств указываются при внесении изменений в утвержденный План после завершения отчетного финансового года.</t>
  </si>
  <si>
    <t>&lt;6&gt;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</si>
  <si>
    <t>&lt;7&gt; Показатели выплат по расходам на закупки товаров, работ, услуг, отраженные в строке 2600 Раздела 1 "Поступления и выплаты" Плана, подлежат детализации в Разделе 2 "Сведения по выплатам на закупку товаров, работ, услуг" Плана.</t>
  </si>
  <si>
    <t>&lt;8&gt; Показатель отражается со знаком "минус".</t>
  </si>
  <si>
    <t>&lt;9&gt;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</si>
  <si>
    <t>Раздел 2. Сведения по выплатам на закупки товаров, работ, услуг &lt;10&gt;</t>
  </si>
  <si>
    <t>Код по бюджетной классификации Российской Федерации &lt;10.1&gt;</t>
  </si>
  <si>
    <t>Выплаты на закупку товаров, работ, услуг, всего &lt;11&gt;</t>
  </si>
  <si>
    <t xml:space="preserve"> в том числе: 
  по контрактам (договорам), заключенным до начала 
  текущего финансового года без применения норм 
  Федерального закона от 05.04.2013 № 44-ФЗ «О контрактной 
  системе в сфере закупок товаров, работ, услуг для 
  обеспечения государственных и муниципальных нужд» 
  (далее - Федеральный закон № 44-ФЗ) и Федерального 
  закона от 18.07.2011 № 223-ФЗ «О закупках товаров, работ, 
  услуг отдельными видами юридических лиц» (далее - 
  Федеральный закон № 223-ФЗ) &lt;12&gt;</t>
  </si>
  <si>
    <t xml:space="preserve">  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 &lt;12&gt;</t>
  </si>
  <si>
    <t xml:space="preserve">  по контрактам (договорам), заключенным до начала 
  текущего финансового года с учетом требований 
  Федерального закона № 44-ФЗ и Федерального закона 
  № 223-ФЗ &lt;13&gt;</t>
  </si>
  <si>
    <t xml:space="preserve">  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 &lt;13&gt;</t>
  </si>
  <si>
    <t xml:space="preserve">        из них &lt;10.1&gt;:</t>
  </si>
  <si>
    <t xml:space="preserve">      в соответствии с Федеральным законом № 223-ФЗ &lt;14&gt;</t>
  </si>
  <si>
    <t xml:space="preserve">    за счет субсидий, предоставляемых на осуществление 
    капитальных вложений &lt;15&gt;</t>
  </si>
  <si>
    <t>&lt;10&gt;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 и выплаты" Плана.</t>
  </si>
  <si>
    <t>&lt;10.1&gt; В случаях, если учреждению предоставляются субсидия на иные цели, субсидия на осуществление капитальных вложений или грант в форме субсидии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07.05.2018 N 204 "О национальных целях и стратегических задачах развития Российской Федерации на период до 2024 года",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 26421, 26430 и 26451 Раздела 2 "Сведения по выплатам на закупку товаров, работ, услуг" детализируются по коду целевой статьи (8 - 17 разряды кода классификации расходов бюджетов, при этом в рамках реализации регионального проекта в 8 - 10 разрядах могут указываться нули).</t>
  </si>
  <si>
    <t>&lt;11&gt; 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обеспечения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t>
  </si>
  <si>
    <t>&lt;12&gt; Указывается сумма договоров (контрактов) о закупках товаров, работ, услуг, заключенных без учета требований Федерального закона N 44-ФЗ и Федерального закона N 223-ФЗ, в случаях, предусмотренных указанными федеральными законами.</t>
  </si>
  <si>
    <t>&lt;13&gt; Указывается сумма закупок товаров, работ, услуг, осуществляемых в соответствии с Федеральным законом N 44-ФЗ и Федеральным законом N 223-ФЗ.</t>
  </si>
  <si>
    <t>&lt;14&gt; Муниципальным бюджетным учреждением показатель не формируется.</t>
  </si>
  <si>
    <t>&lt;15&gt; Указывается сумма закупок товаров, работ, услуг, осуществляемых в соответствии с Федеральным законом N 44-ФЗ.</t>
  </si>
  <si>
    <t xml:space="preserve">  монтажные работы по подключению к телекоммуникац.системе</t>
  </si>
  <si>
    <t>Расчет доходов и расходов по приносящей доход деятельности</t>
  </si>
  <si>
    <t xml:space="preserve">  капитальные вложения в объекты 
  государственной (муниципальной)
  собственности, всего</t>
  </si>
  <si>
    <t xml:space="preserve"> в том числе: 
  по контрактам (договорам), заключенным до начала 
  текущего финансового года без применения норм 
  Федерального закона от 05.04.2013 № 44-ФЗ «О 
  контрактной системе в сфере закупок товаров, работ, 
  услуг для обеспечения государственных и 
  муниципальных нужд» (далее - Федеральный закон № 
  44-ФЗ) и Федерального закона от 18.07.2011 
  № 223-ФЗ «О закупках товаров, работ, услуг 
  отдельными видами юридических лиц» (далее - 
  Федеральный закон № 223-ФЗ)</t>
  </si>
  <si>
    <t xml:space="preserve">  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t>
  </si>
  <si>
    <t xml:space="preserve">  по контрактам (договорам), заключенным до начала 
  текущего финансового года с учетом требований 
  Федерального закона № 44-ФЗ и Федерального
  закона № 223-ФЗ</t>
  </si>
  <si>
    <t xml:space="preserve">  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t>
  </si>
  <si>
    <t xml:space="preserve">    за счет субсидий, предоставляемых на
    осуществление капитальных вложений</t>
  </si>
  <si>
    <t>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</si>
  <si>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</si>
  <si>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131,134,135,139</t>
  </si>
  <si>
    <t>131, 134</t>
  </si>
  <si>
    <t>152, 155</t>
  </si>
  <si>
    <t>510,134,189,291,292</t>
  </si>
  <si>
    <t>134,189,291,292</t>
  </si>
  <si>
    <t>212,226,266</t>
  </si>
  <si>
    <t>263,264,266</t>
  </si>
  <si>
    <t>263,264,266,296</t>
  </si>
  <si>
    <t>263,345,346</t>
  </si>
  <si>
    <t>292,293,295,296</t>
  </si>
  <si>
    <t>291,296,297</t>
  </si>
  <si>
    <t>341,342,343,344,345,346,347,349</t>
  </si>
  <si>
    <t>221,222,223,224,225,226,227</t>
  </si>
  <si>
    <t>221,222,223,224,225,226,227,229</t>
  </si>
  <si>
    <t>221,222,223,224,225,226,227,228</t>
  </si>
  <si>
    <t>на</t>
  </si>
  <si>
    <t>г. текущий финансовый год</t>
  </si>
  <si>
    <t>г. первый год планового периода</t>
  </si>
  <si>
    <t>г. второй год планового периода</t>
  </si>
  <si>
    <t>г. и плановый период</t>
  </si>
  <si>
    <t>и</t>
  </si>
  <si>
    <t>годов</t>
  </si>
  <si>
    <t xml:space="preserve">  в том числе:
    доходы от собственности, всего</t>
  </si>
  <si>
    <t xml:space="preserve">    доходы от оказания услуг, работ, компенсации 
    затрат учреждений, всего</t>
  </si>
  <si>
    <t xml:space="preserve">      в том числе:
        субсидии на финансовое обеспечение выполнения 
        муниципального задания за счет средств бюджета 
        публично-правового образования, создавшего 
        учреждение</t>
  </si>
  <si>
    <t xml:space="preserve">    доходы от штрафов, пеней, иных сумм 
    принудительного изъятия, всего</t>
  </si>
  <si>
    <t xml:space="preserve">    безвозмездные денежные поступления, всего</t>
  </si>
  <si>
    <t xml:space="preserve">       в том числе:    
         целевые субсидии</t>
  </si>
  <si>
    <t xml:space="preserve">   прочие доходы, всего</t>
  </si>
  <si>
    <t xml:space="preserve">     в том числе: 
       целевые субсидии</t>
  </si>
  <si>
    <t xml:space="preserve">   доходы от операций с активами, всего</t>
  </si>
  <si>
    <t xml:space="preserve">     в том числе:
       поступления от оказания услуг (выполнения 
       работ) на платной основе и от иной 
       приносящей доход деятельности</t>
  </si>
  <si>
    <t xml:space="preserve">       поступления от оказания услуг (выполнения 
       работ) на платной основе и от иной 
       приносящей доход деятельности</t>
  </si>
  <si>
    <t xml:space="preserve">    прочие поступления, всего</t>
  </si>
  <si>
    <t xml:space="preserve">      из них:
        увеличение остатков денежных средств за счет 
        возврата дебиторской задолженности прошлых лет</t>
  </si>
  <si>
    <t xml:space="preserve">          из них:
            доходы от оказания платных услуг (работ),
            компенсаций затрат</t>
  </si>
  <si>
    <t xml:space="preserve">            прочие доходы</t>
  </si>
  <si>
    <t xml:space="preserve">            прочие расходы</t>
  </si>
  <si>
    <t xml:space="preserve">  в том числе:
    на выплаты персоналу, всего</t>
  </si>
  <si>
    <t xml:space="preserve">      в том числе:
        оплата труда</t>
  </si>
  <si>
    <t xml:space="preserve">          из них по источнику финансового обеспечения:
            субсидии на финансовое обеспечение 
            выполнения муниципального задания 
            за счет средств бюджета публично-правового 
            образования, создавшего учреждение</t>
  </si>
  <si>
    <t xml:space="preserve">               из них:
                 оплата труда, начисления на выплаты по оплате
                 труда</t>
  </si>
  <si>
    <t xml:space="preserve">                 социальное обеспечение</t>
  </si>
  <si>
    <t xml:space="preserve">             поступления от оказания услуг (выполнения 
             работ) на платной основе и от иной 
             приносящей доход деятельности</t>
  </si>
  <si>
    <t xml:space="preserve">                из них:
                  оплата труда, начисления на выплаты по оплате
                  труда</t>
  </si>
  <si>
    <t xml:space="preserve">                  социальное обеспечение</t>
  </si>
  <si>
    <t xml:space="preserve">             целевые субсидии</t>
  </si>
  <si>
    <t xml:space="preserve">      прочие выплаты персоналу, в том числе 
      компенсационного характера</t>
  </si>
  <si>
    <t xml:space="preserve">        из них по источнику финансового обеспечения:
          субсидии на финансовое обеспечение 
          выполнения муниципального задания 
          за счет средств бюджета публично-правового 
          образования, создавшего учреждение</t>
  </si>
  <si>
    <t xml:space="preserve">             из них:
               оплата труда, начисления на выплаты по оплате
               труда</t>
  </si>
  <si>
    <t xml:space="preserve">               оплата работ, услуг</t>
  </si>
  <si>
    <t xml:space="preserve">               социальное обеспечение</t>
  </si>
  <si>
    <t xml:space="preserve">         поступления от оказания услуг (выполнения 
         работ) на платной основе и от иной 
         приносящей доход деятельности</t>
  </si>
  <si>
    <t xml:space="preserve">         целевые субсидии</t>
  </si>
  <si>
    <t xml:space="preserve">      иные выплаты, за исключением фонда оплаты 
      труда учреждения, для выполнения отдельных 
      полномочий</t>
  </si>
  <si>
    <t xml:space="preserve">         из них по источнику финансового обеспечения:
           субсидии на финансовое обеспечение 
           выполнения муниципального задания 
           за счет средств бюджета публично-правового 
           образования, создавшего учреждение</t>
  </si>
  <si>
    <t xml:space="preserve">           поступления от оказания услуг (выполнения 
           работ) на платной основе и от иной 
           приносящей доход деятельности</t>
  </si>
  <si>
    <t xml:space="preserve">      взносы по обязательному социальному 
      страхованию на выплаты по оплате труда 
      работников и иные выплаты работникам 
      учреждений, всего</t>
  </si>
  <si>
    <t xml:space="preserve">         в том числе: 
           на выплаты по оплате труда</t>
  </si>
  <si>
    <t xml:space="preserve">             из них по источнику финансового 
             обеспечения:
               субсидии на финансовое обеспечение 
               выполнения муниципального задания 
               за счет средств бюджета публично-правового 
               образования, создавшего учреждение</t>
  </si>
  <si>
    <t>213,225,226</t>
  </si>
  <si>
    <t>Начисления на выплаты по оплате труда (213),страховые взносы, начисленные на компенсации работникам (сотрудникам), операции по которым отражаются в рамках статьи 220 "Оплата работ, услуг"</t>
  </si>
  <si>
    <t xml:space="preserve">                 из них:
                   оплата труда, начисления на выплаты по оплате
                   труда</t>
  </si>
  <si>
    <t xml:space="preserve">                   оплата работ, услуг</t>
  </si>
  <si>
    <t xml:space="preserve">               поступления от оказания услуг (выполнения 
               работ) на платной основе и от иной 
               приносящей доход деятельности</t>
  </si>
  <si>
    <t xml:space="preserve">              целевые субсидии</t>
  </si>
  <si>
    <t xml:space="preserve">        на иные выплаты работникам</t>
  </si>
  <si>
    <t xml:space="preserve">          из них по источнику финансового 
          обеспечения:
            субсидии на финансовое обеспечение 
            выполнения муниципального задания 
            за счет средств бюджета публично-правового 
            образования, создавшего учреждение</t>
  </si>
  <si>
    <t>265,266,267</t>
  </si>
  <si>
    <t>Выплата социального пособия на погребение (265), социальные пособия и компенсации персоналу в денежной форме (266), социальные компенсации персоналу в натуральной форме (267)</t>
  </si>
  <si>
    <t xml:space="preserve">              из них:
                социальное обеспечение</t>
  </si>
  <si>
    <t xml:space="preserve">            поступления от оказания услуг (выполнения 
            работ) на платной основе и от иной 
            приносящей доход деятельности</t>
  </si>
  <si>
    <t xml:space="preserve">    в том числе:
      социальные выплаты гражданам, кроме 
      публичных нормативных социальных выплат</t>
  </si>
  <si>
    <t xml:space="preserve">         из них: 
           пособия, компенсации и иные социальные 
           выплаты гражданам, кроме публичных 
           нормативных обязательств</t>
  </si>
  <si>
    <t xml:space="preserve">             из них по источнику финансового обеспечения:
               субсидии на финансовое обеспечение 
               выполнения муниципального задания 
               за счет средств бюджета публично-правового 
               образования, создавшего учреждение</t>
  </si>
  <si>
    <t xml:space="preserve">                 из них:
                   социальное обеспечение</t>
  </si>
  <si>
    <t xml:space="preserve">                   прочие расходы</t>
  </si>
  <si>
    <t xml:space="preserve">               целевые субсидии</t>
  </si>
  <si>
    <t xml:space="preserve">           приобретение товаров, работ, услуг в пользу 
           граждан в целях их социального обеспечения</t>
  </si>
  <si>
    <t xml:space="preserve">              из них по источнику финансового обеспечения:
                целевые субсидии</t>
  </si>
  <si>
    <t xml:space="preserve">                  из них:
                    социальное обеспечение</t>
  </si>
  <si>
    <t xml:space="preserve">                    увеличение стоимости материальных запасов</t>
  </si>
  <si>
    <t xml:space="preserve">      выплата стипендий</t>
  </si>
  <si>
    <t xml:space="preserve">        из них по источнику финансового обеспечения:
          целевые субсидии</t>
  </si>
  <si>
    <t xml:space="preserve">            из них:
              прочие расходы</t>
  </si>
  <si>
    <t xml:space="preserve">      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</si>
  <si>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 xml:space="preserve">        из них по источнику финансового обеспечения:
      </t>
  </si>
  <si>
    <t xml:space="preserve">      иные выплаты населению</t>
  </si>
  <si>
    <t xml:space="preserve">    из них:
      налог на имущество организаций и земельный налог</t>
  </si>
  <si>
    <t xml:space="preserve">              из них:
                прочие расходы</t>
  </si>
  <si>
    <t xml:space="preserve">      иные налоги (включаемые в состав расходов) в 
      бюджеты бюджетной системы Российской 
      Федерации, а также государственная пошлина</t>
  </si>
  <si>
    <t xml:space="preserve">      уплата штрафов (в том числе 
      административных), пеней, иных платежей</t>
  </si>
  <si>
    <t xml:space="preserve">    из них:
      гранты, предоставляемые бюджетным учреждениям</t>
  </si>
  <si>
    <t xml:space="preserve">        из них по источнику финансового обеспечения:</t>
  </si>
  <si>
    <t xml:space="preserve">      гранты, предоставляемые автономным учреждениям</t>
  </si>
  <si>
    <t xml:space="preserve">      гранты, предоставляемые иным некоммерческим
      организациям (за исключением бюджетных и 
      автономных учреждений)</t>
  </si>
  <si>
    <t xml:space="preserve">      гранты, предоставляемые другим организациям
      и физическим лицам</t>
  </si>
  <si>
    <t xml:space="preserve">      взносы в международные организации</t>
  </si>
  <si>
    <t xml:space="preserve">      платежи в целях обеспечения реализации 
      соглашений с правительствами иностранных 
      государств и международными организациями</t>
  </si>
  <si>
    <t xml:space="preserve">         из них по источнику финансового обеспечения:</t>
  </si>
  <si>
    <t xml:space="preserve">    исполнение судебных актов Российской 
    Федерации и мировых соглашений по 
    возмещению вреда, причиненного в результате 
    деятельности учреждения</t>
  </si>
  <si>
    <t xml:space="preserve">      из них по источнику финансового обеспечения:
        субсидии на финансовое обеспечение 
        выполнения муниципального задания 
        за счет средств бюджета публично-правового 
        образования, создавшего учреждение</t>
  </si>
  <si>
    <t xml:space="preserve">           из них:
             прочие расходы</t>
  </si>
  <si>
    <t xml:space="preserve">    в том числе: 
      закупку научно-исследовательских и опытно-
      конструкторских работ</t>
  </si>
  <si>
    <t>226, 320</t>
  </si>
  <si>
    <t xml:space="preserve">            из них:
              оплата работ, услуг</t>
  </si>
  <si>
    <t xml:space="preserve">              увеличение стоимости нематериальных активов</t>
  </si>
  <si>
    <t xml:space="preserve">          поступления от оказания услуг (выполнения 
          работ) на платной основе и от иной 
          приносящей доход деятельности</t>
  </si>
  <si>
    <t xml:space="preserve">          целевые субсидии</t>
  </si>
  <si>
    <t xml:space="preserve">      закупку товаров, работ, услуг в целях 
      капитального ремонта муниципального 
      имущества</t>
  </si>
  <si>
    <t xml:space="preserve">         из них по источнику финансового обеспечения:
           целевые субсидии</t>
  </si>
  <si>
    <t xml:space="preserve">             из них:
               оплата работ, услуг</t>
  </si>
  <si>
    <t xml:space="preserve">               увеличение стоимости основных средств</t>
  </si>
  <si>
    <t xml:space="preserve">               увеличение стоимости материальных запасов</t>
  </si>
  <si>
    <t xml:space="preserve">      прочую закупку товаров, работ и услуг, всего</t>
  </si>
  <si>
    <t xml:space="preserve">       из них по источнику финансового обеспечения:
         субсидии на финансовое обеспечение 
         выполнения муниципального задания 
         за счет средств бюджета публично-правового 
         образования, создавшего учреждение</t>
  </si>
  <si>
    <t xml:space="preserve">    в том числе:
      приобретение объектов недвижимого 
      имущества государственными (муниципальными)
      учреждениями</t>
  </si>
  <si>
    <t xml:space="preserve">         из них по источнику финансового обеспечения:
           субсидии на осуществление 
           капитальных вложений</t>
  </si>
  <si>
    <t xml:space="preserve">               прочие расходы</t>
  </si>
  <si>
    <t xml:space="preserve">               увеличение стоимости непроизведенных активов</t>
  </si>
  <si>
    <t xml:space="preserve">      строительство (реконструкция) объектов 
      недвижимого имущества государственными
      (муниципальными) учреждениями</t>
  </si>
  <si>
    <t xml:space="preserve">  в том числе:
    налог на прибыль</t>
  </si>
  <si>
    <t xml:space="preserve">    налог на добавленную стоимость</t>
  </si>
  <si>
    <t xml:space="preserve">    прочие налоги, уменьшающие доход</t>
  </si>
  <si>
    <t xml:space="preserve">   из них: 
     возврат в бюджет средств субсидии</t>
  </si>
  <si>
    <t xml:space="preserve">        из них:</t>
  </si>
  <si>
    <t>2711</t>
  </si>
  <si>
    <t>2721</t>
  </si>
  <si>
    <t xml:space="preserve">         субсидии на осуществление 
         капитальных вложений</t>
  </si>
  <si>
    <t>наименование услуг (работ) и объемные показатели должны полностью соответствовать МЗ!!!</t>
  </si>
  <si>
    <t>Начальник управления образования</t>
  </si>
  <si>
    <r>
      <t xml:space="preserve"> - коммунальные расходы (</t>
    </r>
    <r>
      <rPr>
        <b/>
        <sz val="11"/>
        <color rgb="FF0000CC"/>
        <rFont val="Times New Roman"/>
        <family val="1"/>
        <charset val="204"/>
      </rPr>
      <t>водоснабжение</t>
    </r>
    <r>
      <rPr>
        <b/>
        <sz val="11"/>
        <rFont val="Times New Roman"/>
        <family val="1"/>
        <charset val="204"/>
      </rPr>
      <t>)</t>
    </r>
  </si>
  <si>
    <r>
      <t xml:space="preserve"> - коммунальные расходы (</t>
    </r>
    <r>
      <rPr>
        <b/>
        <sz val="11"/>
        <color rgb="FF0000CC"/>
        <rFont val="Times New Roman"/>
        <family val="1"/>
        <charset val="204"/>
      </rPr>
      <t>электроэнергия, тепло, газ</t>
    </r>
    <r>
      <rPr>
        <b/>
        <sz val="11"/>
        <rFont val="Times New Roman"/>
        <family val="1"/>
        <charset val="204"/>
      </rPr>
      <t>)</t>
    </r>
  </si>
  <si>
    <t xml:space="preserve">    - замеры параметров электрических сетей</t>
  </si>
  <si>
    <t xml:space="preserve">    - сервисное обслуживание пункта пог.регулир.</t>
  </si>
  <si>
    <t xml:space="preserve">    - поверка теплосчетчиков</t>
  </si>
  <si>
    <t xml:space="preserve">    - поверка весов</t>
  </si>
  <si>
    <t xml:space="preserve">    - поверка (переосвидетельствование) лифта</t>
  </si>
  <si>
    <t xml:space="preserve">    - т/о лифта</t>
  </si>
  <si>
    <t xml:space="preserve">    - т/о бассейна</t>
  </si>
  <si>
    <t xml:space="preserve">    - дератизация открытых станций</t>
  </si>
  <si>
    <t xml:space="preserve">    - т/о прачечного оборудования</t>
  </si>
  <si>
    <t xml:space="preserve">    - ледовые поля (обслуживание)</t>
  </si>
  <si>
    <t xml:space="preserve"> - услуги аутсорсинга, всего:</t>
  </si>
  <si>
    <t xml:space="preserve">   в том числе:
    - аутсорсинг</t>
  </si>
  <si>
    <t xml:space="preserve">   - накладные расходы</t>
  </si>
  <si>
    <t xml:space="preserve">    - анализ воды в бассейне</t>
  </si>
  <si>
    <t xml:space="preserve">    - т/о котельной</t>
  </si>
  <si>
    <t xml:space="preserve">    -санитарно-гигиеническое обучение</t>
  </si>
  <si>
    <t xml:space="preserve">    -организация питания</t>
  </si>
  <si>
    <t xml:space="preserve"> - пособия по социальной помощи населению </t>
  </si>
  <si>
    <t>262</t>
  </si>
  <si>
    <t xml:space="preserve"> - каникулярные расходы (гостевой режим)</t>
  </si>
  <si>
    <t xml:space="preserve"> - бутилированная вода</t>
  </si>
  <si>
    <t>342</t>
  </si>
  <si>
    <t xml:space="preserve"> - продукты питания</t>
  </si>
  <si>
    <t xml:space="preserve"> - бумага</t>
  </si>
  <si>
    <t xml:space="preserve"> -прочие расходные материалы</t>
  </si>
  <si>
    <t xml:space="preserve"> -хоз.расходы, моющие</t>
  </si>
  <si>
    <t xml:space="preserve"> - запчасти</t>
  </si>
  <si>
    <t>Субвенция</t>
  </si>
  <si>
    <t xml:space="preserve">   в том числе:
    - Интернет</t>
  </si>
  <si>
    <t xml:space="preserve"> - текущий ремонт оборудования и техники</t>
  </si>
  <si>
    <t xml:space="preserve"> - обслуживание Доксель</t>
  </si>
  <si>
    <t xml:space="preserve"> - информационно-техн.сопровождение АИС</t>
  </si>
  <si>
    <t xml:space="preserve"> - обслуживание Электнонная школа 2.0</t>
  </si>
  <si>
    <t xml:space="preserve"> - услуги контент-фильтрация</t>
  </si>
  <si>
    <t xml:space="preserve"> - информационно-консультац. услуги АИС</t>
  </si>
  <si>
    <t xml:space="preserve"> - курсы повышения квалификации</t>
  </si>
  <si>
    <t xml:space="preserve"> - библиотечный фонд</t>
  </si>
  <si>
    <t xml:space="preserve"> - наглядные пособия</t>
  </si>
  <si>
    <t xml:space="preserve"> - медали, аттестаты, грамоты</t>
  </si>
  <si>
    <t xml:space="preserve"> - лампы, светильники</t>
  </si>
  <si>
    <t xml:space="preserve"> - канцтовары</t>
  </si>
  <si>
    <t>ГО и ЧС</t>
  </si>
  <si>
    <t xml:space="preserve">    - т/о пожарно-охранной сигнализации</t>
  </si>
  <si>
    <t xml:space="preserve">    -мониторинг охранно-пожарной сигнализации</t>
  </si>
  <si>
    <t>042</t>
  </si>
  <si>
    <t xml:space="preserve">  питание сотрудников</t>
  </si>
  <si>
    <t xml:space="preserve">    - оплата услуг бухгалтерии</t>
  </si>
  <si>
    <t xml:space="preserve">    - услуги банка</t>
  </si>
  <si>
    <t>293</t>
  </si>
  <si>
    <t>возмещение по спец.оценке</t>
  </si>
  <si>
    <t xml:space="preserve"> - компенсация расходов (морального вреда) по решению суда</t>
  </si>
  <si>
    <t>911 0702 09100 29140 611 241</t>
  </si>
  <si>
    <t xml:space="preserve"> -средства личной гигиены</t>
  </si>
  <si>
    <t>питание сотрудников</t>
  </si>
  <si>
    <t>цп 218</t>
  </si>
  <si>
    <t>цп 234</t>
  </si>
  <si>
    <t>цп 207 - 1450,71 , цп 222 - 1664,99(346)</t>
  </si>
  <si>
    <t>зам. гл. бухгалтера</t>
  </si>
  <si>
    <t>гл.специалист</t>
  </si>
  <si>
    <t>МЗ местный</t>
  </si>
  <si>
    <t>счетчики тепла</t>
  </si>
  <si>
    <t xml:space="preserve">антитеррор </t>
  </si>
  <si>
    <t xml:space="preserve"> МЗ субвенция</t>
  </si>
  <si>
    <t>иные цели</t>
  </si>
  <si>
    <t>внебюджет</t>
  </si>
  <si>
    <t>ИТОГО</t>
  </si>
  <si>
    <t>Договора заключенные ранее 2023г.</t>
  </si>
  <si>
    <t>ст.221</t>
  </si>
  <si>
    <t>ст.222</t>
  </si>
  <si>
    <t>ст.223</t>
  </si>
  <si>
    <t>ст.224</t>
  </si>
  <si>
    <t>ст.225</t>
  </si>
  <si>
    <t>ст.226</t>
  </si>
  <si>
    <t>ИТОГО (стр.26300)</t>
  </si>
  <si>
    <t>стр.26200</t>
  </si>
  <si>
    <t>агентский договор с КП</t>
  </si>
  <si>
    <t>бух.обслуживание</t>
  </si>
  <si>
    <t>% банка</t>
  </si>
  <si>
    <t>2024г.</t>
  </si>
  <si>
    <t>инф-я от каб.107</t>
  </si>
  <si>
    <t xml:space="preserve"> = счет 302</t>
  </si>
  <si>
    <t>нет таких договоров</t>
  </si>
  <si>
    <t>Договора заключенные ранее 2024г.</t>
  </si>
  <si>
    <t>Декабрь 2023г</t>
  </si>
  <si>
    <t>ст.223, вода 2023</t>
  </si>
  <si>
    <t xml:space="preserve">ст.223 </t>
  </si>
  <si>
    <t>2025г.</t>
  </si>
  <si>
    <t>Декабрь 2024г</t>
  </si>
  <si>
    <t>223-фз (26412,26422,26452)</t>
  </si>
  <si>
    <t>мест.бюдж</t>
  </si>
  <si>
    <t>антитер</t>
  </si>
  <si>
    <t>энергосбер</t>
  </si>
  <si>
    <t>911 0702 20300 29110 621 999</t>
  </si>
  <si>
    <t>общеобр</t>
  </si>
  <si>
    <t>кор.субв</t>
  </si>
  <si>
    <t>интернет</t>
  </si>
  <si>
    <t>911 0702 09100 71930 621 241</t>
  </si>
  <si>
    <t>питание</t>
  </si>
  <si>
    <t>0702 09100 L3040 612 042 (КЦ 00500044)</t>
  </si>
  <si>
    <t>00000000000000000000000000</t>
  </si>
  <si>
    <t>Муниципальное  автономное дошкольное образовательное</t>
  </si>
  <si>
    <t>Муниципальное автономное дошкольное образовательное учреждение № 169 "Детский сад комбинированного вида"</t>
  </si>
  <si>
    <t>Заведующая МАДОУ № 169</t>
  </si>
  <si>
    <t xml:space="preserve">      Л.А. Кириченко</t>
  </si>
  <si>
    <t xml:space="preserve">                 учреждение № 169 "Детский сад комбинированного вида"</t>
  </si>
  <si>
    <t>323Ш6166</t>
  </si>
  <si>
    <t>4205245680</t>
  </si>
  <si>
    <t xml:space="preserve">    - аварийно-техническое обслуживание зданий (ПЖРЭТ)</t>
  </si>
  <si>
    <t xml:space="preserve">    - поверка счетчиков  горячей воды</t>
  </si>
  <si>
    <t xml:space="preserve">    - поверка электросчетчиков, трансформаторов тока</t>
  </si>
  <si>
    <t xml:space="preserve">    - вывоз твердых бытовых отходов (ТБО)</t>
  </si>
  <si>
    <t xml:space="preserve">    - возвраты </t>
  </si>
  <si>
    <t xml:space="preserve">    - псих освид (медосмотр)</t>
  </si>
  <si>
    <t xml:space="preserve">    - возвраты (гигиеническое обучение)</t>
  </si>
  <si>
    <t>911 0701 21000 29110 621 241</t>
  </si>
  <si>
    <t xml:space="preserve"> - медоборудование</t>
  </si>
  <si>
    <t xml:space="preserve"> - аудио-видео техника</t>
  </si>
  <si>
    <t xml:space="preserve"> - игрушки</t>
  </si>
  <si>
    <t>911 0701 20300 29110 621 999 (ГО и ЧС)</t>
  </si>
  <si>
    <t xml:space="preserve">    - т/о охранно-пожарной сигнализации</t>
  </si>
  <si>
    <t>0701 09100 29110 622 999</t>
  </si>
  <si>
    <t>- поверка манометров</t>
  </si>
  <si>
    <t>911 0709 09100 29180 612 241</t>
  </si>
  <si>
    <t xml:space="preserve"> - экспертиза чердачного помещения</t>
  </si>
  <si>
    <t xml:space="preserve"> - испытание гидранта</t>
  </si>
  <si>
    <t xml:space="preserve"> - перезарядка огнетушителей</t>
  </si>
  <si>
    <t xml:space="preserve"> - приобретение огнетушителей</t>
  </si>
  <si>
    <t>0701 20300 29110 622 999</t>
  </si>
  <si>
    <t>- автономная система экстренного оповещения работников о ЧС и УЭ</t>
  </si>
  <si>
    <t>- оснащение системы видеонаблюдения</t>
  </si>
  <si>
    <t>- перезарядка, переосвидетельствование огнетушителей</t>
  </si>
  <si>
    <t>- замена аккумуляторов для АУПС</t>
  </si>
  <si>
    <t>ИТОГО КАП</t>
  </si>
  <si>
    <r>
      <t xml:space="preserve"> - компьютерная техника</t>
    </r>
    <r>
      <rPr>
        <sz val="11"/>
        <color rgb="FFFF0000"/>
        <rFont val="Times New Roman"/>
        <family val="1"/>
        <charset val="204"/>
      </rPr>
      <t xml:space="preserve"> (принтер)</t>
    </r>
  </si>
  <si>
    <t>911 0701 09100 29110 621 241   (ЦП402)</t>
  </si>
  <si>
    <t>911 0701 09100 71800 621 241    (ЦП401)</t>
  </si>
  <si>
    <t xml:space="preserve">    - противоклещевая обработка</t>
  </si>
  <si>
    <t xml:space="preserve">    - то компьютерного оборудования</t>
  </si>
  <si>
    <t xml:space="preserve">    - Химчистка</t>
  </si>
  <si>
    <t xml:space="preserve">    - поверка средств имерения</t>
  </si>
  <si>
    <t xml:space="preserve">    - обслуживание компьютерных программ</t>
  </si>
  <si>
    <t>2026г.</t>
  </si>
  <si>
    <t>Декабрь 2025г</t>
  </si>
  <si>
    <t>Заместитель начальника управления образования</t>
  </si>
  <si>
    <t>О.В. Гусева</t>
  </si>
  <si>
    <t>КЦ 00500039</t>
  </si>
  <si>
    <t xml:space="preserve">    - установка сигнализации</t>
  </si>
  <si>
    <t xml:space="preserve"> - НДФЛ</t>
  </si>
  <si>
    <t>169"</t>
  </si>
  <si>
    <t xml:space="preserve">   в том числе:
    - ГТС и МТС</t>
  </si>
  <si>
    <t xml:space="preserve">    - оказание консалтинговых услуг</t>
  </si>
  <si>
    <t xml:space="preserve">    - организация питания</t>
  </si>
  <si>
    <t xml:space="preserve"> - ежегодное испытание АПС и СОУЭ</t>
  </si>
  <si>
    <t>КЦ 00500040</t>
  </si>
  <si>
    <t>911 0701 23000 29110 621 241   (ЦП 4023)</t>
  </si>
  <si>
    <t>Договора заключенные ранее 2025г.</t>
  </si>
  <si>
    <t>прочие поступления, всего</t>
  </si>
  <si>
    <t>из них:
    увеличение остатков денежных 
    средств за счет возврата дебиторской 
    задолженности прошлых лет</t>
  </si>
  <si>
    <t xml:space="preserve">        /  С.Н. Какошина</t>
  </si>
  <si>
    <t>Р.А. Миронова</t>
  </si>
  <si>
    <t>- замеры параметров эл сетей</t>
  </si>
  <si>
    <t>- мониторинг охранно пожарной сигнализации(кредиторка)</t>
  </si>
  <si>
    <t>«            »                                  2024 г.</t>
  </si>
  <si>
    <t>«          »                                   2024 г.</t>
  </si>
  <si>
    <t>0701 23000 S1390 622 999</t>
  </si>
  <si>
    <t>КЦ 00500042</t>
  </si>
  <si>
    <t>КЦ 0420002288</t>
  </si>
  <si>
    <t xml:space="preserve"> - монтаж тревожной сигнализации</t>
  </si>
  <si>
    <t>С.А. Воробьева</t>
  </si>
  <si>
    <t>октябрь</t>
  </si>
  <si>
    <t>24</t>
  </si>
  <si>
    <t>/      54-08-01</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</si>
</sst>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0.0"/>
    <numFmt numFmtId="165" formatCode="_-* #,##0.00_р_._-;\-* #,##0.00_р_._-;_-* &quot;-&quot;??_р_._-;_-@_-"/>
    <numFmt numFmtId="166" formatCode="#,##0.000"/>
    <numFmt numFmtId="167" formatCode="#,##0.0000"/>
    <numFmt numFmtId="168" formatCode="0.0"/>
    <numFmt numFmtId="169" formatCode="#,##0.00000"/>
    <numFmt numFmtId="170" formatCode="0.000"/>
    <numFmt numFmtId="171" formatCode="0.0000"/>
    <numFmt numFmtId="172" formatCode="#,##0.0000000"/>
    <numFmt numFmtId="173" formatCode="0.000000"/>
    <numFmt numFmtId="174" formatCode="0.00000"/>
    <numFmt numFmtId="175" formatCode="#,##0.000000"/>
    <numFmt numFmtId="176" formatCode="0.00000000"/>
  </numFmts>
  <fonts count="82" x14ac:knownFonts="1">
    <font>
      <sz val="11"/>
      <color theme="1"/>
      <name val="Times New Roman"/>
      <family val="2"/>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color theme="1"/>
      <name val="Times New Roman"/>
      <family val="2"/>
      <charset val="204"/>
    </font>
    <font>
      <b/>
      <sz val="11"/>
      <color theme="1"/>
      <name val="Times New Roman"/>
      <family val="1"/>
      <charset val="204"/>
    </font>
    <font>
      <b/>
      <sz val="12"/>
      <color theme="1"/>
      <name val="Times New Roman"/>
      <family val="1"/>
      <charset val="204"/>
    </font>
    <font>
      <sz val="11"/>
      <name val="Times New Roman"/>
      <family val="2"/>
      <charset val="204"/>
    </font>
    <font>
      <sz val="11"/>
      <color theme="1"/>
      <name val="Times New Roman"/>
      <family val="1"/>
      <charset val="204"/>
    </font>
    <font>
      <sz val="11"/>
      <color theme="1"/>
      <name val="Calibri"/>
      <family val="2"/>
      <charset val="204"/>
      <scheme val="minor"/>
    </font>
    <font>
      <b/>
      <sz val="11"/>
      <color rgb="FF0000CC"/>
      <name val="Times New Roman"/>
      <family val="1"/>
      <charset val="204"/>
    </font>
    <font>
      <b/>
      <sz val="11"/>
      <name val="Times New Roman"/>
      <family val="1"/>
      <charset val="204"/>
    </font>
    <font>
      <sz val="11"/>
      <name val="Times New Roman"/>
      <family val="1"/>
      <charset val="204"/>
    </font>
    <font>
      <sz val="10"/>
      <name val="Arial"/>
      <family val="2"/>
      <charset val="204"/>
    </font>
    <font>
      <sz val="11"/>
      <color rgb="FF86002D"/>
      <name val="Times New Roman"/>
      <family val="1"/>
      <charset val="204"/>
    </font>
    <font>
      <sz val="11"/>
      <color rgb="FF800000"/>
      <name val="Times New Roman"/>
      <family val="1"/>
      <charset val="204"/>
    </font>
    <font>
      <b/>
      <sz val="9"/>
      <color indexed="81"/>
      <name val="Tahoma"/>
      <family val="2"/>
      <charset val="204"/>
    </font>
    <font>
      <sz val="11"/>
      <color rgb="FF0000CC"/>
      <name val="Times New Roman"/>
      <family val="2"/>
      <charset val="204"/>
    </font>
    <font>
      <sz val="10"/>
      <name val="Arial Cyr"/>
      <charset val="204"/>
    </font>
    <font>
      <sz val="8"/>
      <name val="Arial"/>
      <family val="2"/>
    </font>
    <font>
      <sz val="11"/>
      <color indexed="8"/>
      <name val="Calibri"/>
      <family val="2"/>
    </font>
    <font>
      <sz val="11"/>
      <color theme="1"/>
      <name val="Calibri"/>
      <family val="2"/>
      <scheme val="minor"/>
    </font>
    <font>
      <b/>
      <sz val="11"/>
      <color rgb="FFA50021"/>
      <name val="Times New Roman"/>
      <family val="1"/>
      <charset val="204"/>
    </font>
    <font>
      <b/>
      <sz val="11"/>
      <color rgb="FF660066"/>
      <name val="Times New Roman"/>
      <family val="1"/>
      <charset val="204"/>
    </font>
    <font>
      <sz val="9"/>
      <color indexed="81"/>
      <name val="Tahoma"/>
      <family val="2"/>
      <charset val="204"/>
    </font>
    <font>
      <b/>
      <sz val="11"/>
      <color rgb="FF86002D"/>
      <name val="Times New Roman"/>
      <family val="1"/>
      <charset val="204"/>
    </font>
    <font>
      <sz val="11"/>
      <color rgb="FFFF0000"/>
      <name val="Times New Roman"/>
      <family val="2"/>
      <charset val="204"/>
    </font>
    <font>
      <sz val="10"/>
      <name val="Times New Roman"/>
      <family val="1"/>
      <charset val="204"/>
    </font>
    <font>
      <b/>
      <sz val="10"/>
      <name val="Times New Roman"/>
      <family val="1"/>
      <charset val="204"/>
    </font>
    <font>
      <b/>
      <sz val="11"/>
      <color rgb="FFFFFFCC"/>
      <name val="Times New Roman"/>
      <family val="1"/>
      <charset val="204"/>
    </font>
    <font>
      <b/>
      <sz val="12"/>
      <color rgb="FFFFFFCC"/>
      <name val="Times New Roman"/>
      <family val="1"/>
      <charset val="204"/>
    </font>
    <font>
      <b/>
      <sz val="10"/>
      <color rgb="FFFFFFCC"/>
      <name val="Times New Roman"/>
      <family val="1"/>
      <charset val="204"/>
    </font>
    <font>
      <u/>
      <sz val="11"/>
      <color theme="1"/>
      <name val="Times New Roman"/>
      <family val="2"/>
      <charset val="204"/>
    </font>
    <font>
      <b/>
      <u/>
      <sz val="12"/>
      <color theme="1"/>
      <name val="Times New Roman"/>
      <family val="1"/>
      <charset val="204"/>
    </font>
    <font>
      <sz val="12"/>
      <color theme="1"/>
      <name val="Times New Roman"/>
      <family val="1"/>
      <charset val="204"/>
    </font>
    <font>
      <sz val="12"/>
      <name val="Times New Roman"/>
      <family val="1"/>
      <charset val="204"/>
    </font>
    <font>
      <sz val="9"/>
      <color theme="1"/>
      <name val="Times New Roman"/>
      <family val="1"/>
      <charset val="204"/>
    </font>
    <font>
      <b/>
      <sz val="14"/>
      <color rgb="FF0000CC"/>
      <name val="Times New Roman"/>
      <family val="1"/>
      <charset val="204"/>
    </font>
    <font>
      <i/>
      <sz val="12"/>
      <color theme="1"/>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b/>
      <sz val="16"/>
      <color rgb="FF0000CC"/>
      <name val="Times New Roman"/>
      <family val="1"/>
      <charset val="204"/>
    </font>
    <font>
      <b/>
      <i/>
      <sz val="12"/>
      <color theme="1"/>
      <name val="Times New Roman"/>
      <family val="1"/>
      <charset val="204"/>
    </font>
    <font>
      <i/>
      <sz val="11"/>
      <color theme="1"/>
      <name val="Times New Roman"/>
      <family val="1"/>
      <charset val="204"/>
    </font>
    <font>
      <b/>
      <i/>
      <sz val="11"/>
      <color theme="1"/>
      <name val="Times New Roman"/>
      <family val="1"/>
      <charset val="204"/>
    </font>
    <font>
      <b/>
      <sz val="14"/>
      <name val="Times New Roman"/>
      <family val="1"/>
      <charset val="204"/>
    </font>
    <font>
      <sz val="14"/>
      <name val="Times New Roman"/>
      <family val="1"/>
      <charset val="204"/>
    </font>
    <font>
      <b/>
      <i/>
      <sz val="14"/>
      <name val="Times New Roman"/>
      <family val="1"/>
      <charset val="204"/>
    </font>
    <font>
      <b/>
      <i/>
      <sz val="14"/>
      <color theme="1"/>
      <name val="Times New Roman"/>
      <family val="1"/>
      <charset val="204"/>
    </font>
    <font>
      <sz val="14"/>
      <color theme="1"/>
      <name val="Times New Roman"/>
      <family val="1"/>
      <charset val="204"/>
    </font>
    <font>
      <b/>
      <i/>
      <sz val="1"/>
      <name val="Times New Roman"/>
      <family val="1"/>
      <charset val="204"/>
    </font>
    <font>
      <i/>
      <sz val="1"/>
      <name val="Times New Roman"/>
      <family val="1"/>
      <charset val="204"/>
    </font>
    <font>
      <b/>
      <i/>
      <sz val="11"/>
      <name val="Times New Roman"/>
      <family val="1"/>
      <charset val="204"/>
    </font>
    <font>
      <b/>
      <i/>
      <sz val="9"/>
      <name val="Times New Roman"/>
      <family val="1"/>
      <charset val="204"/>
    </font>
    <font>
      <i/>
      <sz val="11"/>
      <name val="Times New Roman"/>
      <family val="1"/>
      <charset val="204"/>
    </font>
    <font>
      <i/>
      <sz val="14"/>
      <name val="Times New Roman"/>
      <family val="1"/>
      <charset val="204"/>
    </font>
    <font>
      <b/>
      <sz val="10"/>
      <color rgb="FFA50021"/>
      <name val="Times New Roman"/>
      <family val="1"/>
      <charset val="204"/>
    </font>
    <font>
      <sz val="11"/>
      <color rgb="FF9C0006"/>
      <name val="Calibri"/>
      <family val="2"/>
      <charset val="204"/>
      <scheme val="minor"/>
    </font>
    <font>
      <b/>
      <sz val="12"/>
      <color rgb="FF0000CC"/>
      <name val="Times New Roman"/>
      <family val="1"/>
      <charset val="204"/>
    </font>
    <font>
      <sz val="14"/>
      <color rgb="FF0000CC"/>
      <name val="Times New Roman"/>
      <family val="1"/>
      <charset val="204"/>
    </font>
    <font>
      <b/>
      <sz val="9"/>
      <color rgb="FF0000CC"/>
      <name val="Times New Roman"/>
      <family val="1"/>
      <charset val="204"/>
    </font>
    <font>
      <b/>
      <sz val="9"/>
      <color rgb="FFFFFFCC"/>
      <name val="Times New Roman"/>
      <family val="1"/>
      <charset val="204"/>
    </font>
    <font>
      <b/>
      <sz val="14"/>
      <color rgb="FFFFFFCC"/>
      <name val="Times New Roman"/>
      <family val="1"/>
      <charset val="204"/>
    </font>
    <font>
      <sz val="16"/>
      <color rgb="FF0000CC"/>
      <name val="Times New Roman"/>
      <family val="1"/>
      <charset val="204"/>
    </font>
    <font>
      <sz val="10"/>
      <color rgb="FFA50021"/>
      <name val="Times New Roman"/>
      <family val="1"/>
      <charset val="204"/>
    </font>
    <font>
      <sz val="12"/>
      <color rgb="FF0000CC"/>
      <name val="Times New Roman"/>
      <family val="1"/>
      <charset val="204"/>
    </font>
    <font>
      <sz val="12"/>
      <color rgb="FFFFFFCC"/>
      <name val="Times New Roman"/>
      <family val="1"/>
      <charset val="204"/>
    </font>
    <font>
      <sz val="11"/>
      <color rgb="FF0000CC"/>
      <name val="Times New Roman"/>
      <family val="1"/>
      <charset val="204"/>
    </font>
    <font>
      <sz val="11"/>
      <color rgb="FFFFFFCC"/>
      <name val="Times New Roman"/>
      <family val="1"/>
      <charset val="204"/>
    </font>
    <font>
      <b/>
      <sz val="12"/>
      <color rgb="FFA50021"/>
      <name val="Times New Roman"/>
      <family val="1"/>
      <charset val="204"/>
    </font>
    <font>
      <b/>
      <u/>
      <sz val="12"/>
      <name val="Times New Roman"/>
      <family val="1"/>
      <charset val="204"/>
    </font>
    <font>
      <b/>
      <sz val="12"/>
      <color rgb="FF660066"/>
      <name val="Times New Roman"/>
      <family val="1"/>
      <charset val="204"/>
    </font>
    <font>
      <b/>
      <i/>
      <sz val="12"/>
      <color rgb="FFFF0000"/>
      <name val="Times New Roman"/>
      <family val="1"/>
      <charset val="204"/>
    </font>
    <font>
      <b/>
      <i/>
      <sz val="11"/>
      <color rgb="FF0000CC"/>
      <name val="Times New Roman"/>
      <family val="1"/>
      <charset val="204"/>
    </font>
    <font>
      <b/>
      <i/>
      <sz val="11"/>
      <color rgb="FFFFFFCC"/>
      <name val="Times New Roman"/>
      <family val="1"/>
      <charset val="204"/>
    </font>
    <font>
      <b/>
      <sz val="11"/>
      <name val="Times New Roman"/>
      <family val="2"/>
      <charset val="204"/>
    </font>
    <font>
      <b/>
      <sz val="11"/>
      <color rgb="FFCCFFCC"/>
      <name val="Times New Roman"/>
      <family val="1"/>
      <charset val="204"/>
    </font>
    <font>
      <b/>
      <u/>
      <sz val="11"/>
      <color theme="1"/>
      <name val="Times New Roman"/>
      <family val="1"/>
      <charset val="204"/>
    </font>
    <font>
      <sz val="11"/>
      <color rgb="FFFF0000"/>
      <name val="Times New Roman"/>
      <family val="1"/>
      <charset val="204"/>
    </font>
    <font>
      <b/>
      <sz val="11"/>
      <color rgb="FFFF0000"/>
      <name val="Times New Roman"/>
      <family val="1"/>
      <charset val="204"/>
    </font>
  </fonts>
  <fills count="19">
    <fill>
      <patternFill patternType="none"/>
    </fill>
    <fill>
      <patternFill patternType="gray125"/>
    </fill>
    <fill>
      <patternFill patternType="solid">
        <fgColor rgb="FFCCECFF"/>
        <bgColor indexed="64"/>
      </patternFill>
    </fill>
    <fill>
      <patternFill patternType="solid">
        <fgColor rgb="FFCCFFFF"/>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C7CE"/>
      </patternFill>
    </fill>
    <fill>
      <patternFill patternType="solid">
        <fgColor theme="0"/>
        <bgColor indexed="64"/>
      </patternFill>
    </fill>
    <fill>
      <patternFill patternType="solid">
        <fgColor theme="8" tint="0.59999389629810485"/>
        <bgColor indexed="64"/>
      </patternFill>
    </fill>
    <fill>
      <patternFill patternType="solid">
        <fgColor rgb="FFFFCCFF"/>
        <bgColor indexed="64"/>
      </patternFill>
    </fill>
    <fill>
      <patternFill patternType="solid">
        <fgColor rgb="FFFF0000"/>
        <bgColor indexed="64"/>
      </patternFill>
    </fill>
    <fill>
      <patternFill patternType="solid">
        <fgColor rgb="FFFFFFCC"/>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rgb="FFFFC000"/>
        <bgColor indexed="64"/>
      </patternFill>
    </fill>
    <fill>
      <patternFill patternType="solid">
        <fgColor rgb="FFD9D9FF"/>
        <bgColor indexed="64"/>
      </patternFill>
    </fill>
    <fill>
      <patternFill patternType="solid">
        <fgColor rgb="FF92D050"/>
        <bgColor indexed="64"/>
      </patternFill>
    </fill>
    <fill>
      <patternFill patternType="solid">
        <fgColor theme="6" tint="0.39997558519241921"/>
        <bgColor indexed="64"/>
      </patternFill>
    </fill>
  </fills>
  <borders count="29">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25">
    <xf numFmtId="0" fontId="0" fillId="0" borderId="0"/>
    <xf numFmtId="0" fontId="10" fillId="0" borderId="0"/>
    <xf numFmtId="0" fontId="10" fillId="0" borderId="0"/>
    <xf numFmtId="0" fontId="14" fillId="0" borderId="0"/>
    <xf numFmtId="0" fontId="10" fillId="0" borderId="0"/>
    <xf numFmtId="0" fontId="10" fillId="0" borderId="0"/>
    <xf numFmtId="0" fontId="19" fillId="0" borderId="0"/>
    <xf numFmtId="0" fontId="20" fillId="0" borderId="0"/>
    <xf numFmtId="0" fontId="10" fillId="0" borderId="0"/>
    <xf numFmtId="0" fontId="10" fillId="0" borderId="0"/>
    <xf numFmtId="9" fontId="21" fillId="0" borderId="0" applyFont="0" applyFill="0" applyBorder="0" applyAlignment="0" applyProtection="0"/>
    <xf numFmtId="9" fontId="10" fillId="0" borderId="0" applyFont="0" applyFill="0" applyBorder="0" applyAlignment="0" applyProtection="0"/>
    <xf numFmtId="9" fontId="22" fillId="0" borderId="0" applyFont="0" applyFill="0" applyBorder="0" applyAlignment="0" applyProtection="0"/>
    <xf numFmtId="9" fontId="19" fillId="0" borderId="0" applyFont="0" applyFill="0" applyBorder="0" applyAlignment="0" applyProtection="0"/>
    <xf numFmtId="165" fontId="19" fillId="0" borderId="0" applyFont="0" applyFill="0" applyBorder="0" applyAlignment="0" applyProtection="0"/>
    <xf numFmtId="0" fontId="10" fillId="0" borderId="0"/>
    <xf numFmtId="0" fontId="59" fillId="6" borderId="0" applyNumberFormat="0" applyBorder="0" applyAlignment="0" applyProtection="0"/>
    <xf numFmtId="0" fontId="4" fillId="0" borderId="0"/>
    <xf numFmtId="0" fontId="4" fillId="0" borderId="0"/>
    <xf numFmtId="0" fontId="3" fillId="0" borderId="0"/>
    <xf numFmtId="0" fontId="3" fillId="0" borderId="0"/>
    <xf numFmtId="0" fontId="2" fillId="0" borderId="0"/>
    <xf numFmtId="0" fontId="2" fillId="0" borderId="0"/>
    <xf numFmtId="0" fontId="1" fillId="0" borderId="0"/>
    <xf numFmtId="0" fontId="1" fillId="0" borderId="0"/>
  </cellStyleXfs>
  <cellXfs count="1007">
    <xf numFmtId="0" fontId="0" fillId="0" borderId="0" xfId="0"/>
    <xf numFmtId="0" fontId="0" fillId="0" borderId="0" xfId="0" applyFill="1"/>
    <xf numFmtId="0" fontId="0" fillId="0" borderId="0" xfId="0" applyFill="1" applyAlignment="1">
      <alignment wrapText="1"/>
    </xf>
    <xf numFmtId="0" fontId="0" fillId="0" borderId="0" xfId="0" applyAlignment="1">
      <alignment horizontal="center"/>
    </xf>
    <xf numFmtId="0" fontId="0" fillId="0" borderId="0" xfId="0" applyAlignment="1">
      <alignment wrapText="1"/>
    </xf>
    <xf numFmtId="0" fontId="0" fillId="0" borderId="0" xfId="0" applyAlignment="1">
      <alignment horizontal="right"/>
    </xf>
    <xf numFmtId="0" fontId="0" fillId="0" borderId="0" xfId="0" applyFill="1" applyAlignment="1"/>
    <xf numFmtId="0" fontId="0" fillId="0" borderId="0" xfId="0" applyFill="1" applyAlignment="1">
      <alignment horizontal="center"/>
    </xf>
    <xf numFmtId="0" fontId="0" fillId="0" borderId="0" xfId="0" applyFill="1" applyBorder="1"/>
    <xf numFmtId="0" fontId="0" fillId="0" borderId="0" xfId="0" applyFill="1" applyBorder="1" applyAlignment="1"/>
    <xf numFmtId="0" fontId="5" fillId="0" borderId="0" xfId="0" applyFont="1" applyFill="1" applyBorder="1" applyAlignment="1">
      <alignment wrapText="1"/>
    </xf>
    <xf numFmtId="0" fontId="6" fillId="0" borderId="0" xfId="0" applyFont="1" applyAlignment="1"/>
    <xf numFmtId="0" fontId="0" fillId="0" borderId="0" xfId="0" applyAlignment="1">
      <alignment horizontal="right" wrapText="1"/>
    </xf>
    <xf numFmtId="0" fontId="5" fillId="0" borderId="0" xfId="0" applyFont="1" applyFill="1" applyBorder="1" applyAlignment="1"/>
    <xf numFmtId="0" fontId="7" fillId="0" borderId="0" xfId="0" applyFont="1" applyFill="1" applyAlignment="1">
      <alignment wrapText="1"/>
    </xf>
    <xf numFmtId="0" fontId="0" fillId="0" borderId="3" xfId="0" applyFill="1" applyBorder="1" applyAlignment="1">
      <alignment horizontal="center"/>
    </xf>
    <xf numFmtId="0" fontId="0" fillId="0" borderId="0" xfId="0" applyFill="1" applyAlignment="1">
      <alignment horizontal="right" wrapText="1"/>
    </xf>
    <xf numFmtId="0" fontId="0" fillId="0" borderId="0" xfId="0" applyAlignment="1">
      <alignment horizontal="left"/>
    </xf>
    <xf numFmtId="0" fontId="0" fillId="0" borderId="1" xfId="0" applyFill="1" applyBorder="1"/>
    <xf numFmtId="0" fontId="0" fillId="0" borderId="0" xfId="0" applyFill="1" applyBorder="1" applyAlignment="1">
      <alignment wrapText="1"/>
    </xf>
    <xf numFmtId="0" fontId="0" fillId="0" borderId="3" xfId="0" applyFill="1" applyBorder="1" applyAlignment="1">
      <alignment wrapText="1"/>
    </xf>
    <xf numFmtId="49" fontId="0" fillId="0" borderId="3" xfId="0" applyNumberFormat="1" applyFill="1" applyBorder="1" applyAlignment="1">
      <alignment horizontal="center"/>
    </xf>
    <xf numFmtId="4" fontId="0" fillId="0" borderId="3" xfId="0" applyNumberFormat="1" applyFill="1" applyBorder="1"/>
    <xf numFmtId="0" fontId="6" fillId="0" borderId="0" xfId="0" applyFont="1" applyFill="1"/>
    <xf numFmtId="0" fontId="6" fillId="0" borderId="3" xfId="0" applyFont="1" applyFill="1" applyBorder="1" applyAlignment="1">
      <alignment wrapText="1"/>
    </xf>
    <xf numFmtId="49" fontId="6" fillId="0" borderId="3" xfId="0" applyNumberFormat="1" applyFont="1" applyFill="1" applyBorder="1" applyAlignment="1">
      <alignment horizontal="center"/>
    </xf>
    <xf numFmtId="0" fontId="6" fillId="0" borderId="3" xfId="0" applyFont="1" applyFill="1" applyBorder="1" applyAlignment="1">
      <alignment horizontal="center"/>
    </xf>
    <xf numFmtId="4" fontId="6" fillId="0" borderId="3" xfId="0" applyNumberFormat="1" applyFont="1" applyFill="1" applyBorder="1"/>
    <xf numFmtId="0" fontId="6" fillId="0" borderId="0" xfId="0" applyFont="1"/>
    <xf numFmtId="0" fontId="6" fillId="0" borderId="0" xfId="0" applyFont="1" applyAlignment="1">
      <alignment horizontal="right"/>
    </xf>
    <xf numFmtId="3" fontId="0" fillId="0" borderId="0" xfId="0" applyNumberFormat="1" applyFill="1" applyBorder="1" applyAlignment="1">
      <alignment horizontal="right"/>
    </xf>
    <xf numFmtId="164" fontId="0" fillId="0" borderId="0" xfId="0" applyNumberFormat="1" applyAlignment="1">
      <alignment horizontal="right"/>
    </xf>
    <xf numFmtId="3" fontId="0" fillId="0" borderId="0" xfId="0" applyNumberFormat="1" applyAlignment="1">
      <alignment horizontal="right"/>
    </xf>
    <xf numFmtId="0" fontId="0" fillId="0" borderId="0" xfId="0" applyAlignment="1"/>
    <xf numFmtId="4" fontId="0" fillId="0" borderId="3" xfId="0" applyNumberFormat="1" applyFill="1" applyBorder="1" applyAlignment="1">
      <alignment horizontal="center"/>
    </xf>
    <xf numFmtId="3" fontId="6" fillId="0" borderId="0" xfId="0" applyNumberFormat="1" applyFont="1" applyAlignment="1">
      <alignment horizontal="right"/>
    </xf>
    <xf numFmtId="0" fontId="0" fillId="0" borderId="3" xfId="0" applyFill="1" applyBorder="1" applyAlignment="1">
      <alignment vertical="top" wrapText="1"/>
    </xf>
    <xf numFmtId="3" fontId="0" fillId="0" borderId="0" xfId="0" applyNumberFormat="1" applyAlignment="1">
      <alignment horizontal="right" wrapText="1"/>
    </xf>
    <xf numFmtId="3" fontId="0" fillId="0" borderId="0" xfId="0" applyNumberFormat="1" applyAlignment="1">
      <alignment horizontal="left"/>
    </xf>
    <xf numFmtId="0" fontId="8" fillId="0" borderId="3" xfId="0" applyFont="1" applyFill="1" applyBorder="1" applyAlignment="1">
      <alignment wrapText="1"/>
    </xf>
    <xf numFmtId="4" fontId="6" fillId="0" borderId="3" xfId="0" applyNumberFormat="1" applyFont="1" applyFill="1" applyBorder="1" applyAlignment="1">
      <alignment horizontal="center"/>
    </xf>
    <xf numFmtId="0" fontId="0" fillId="0" borderId="3" xfId="0" applyFill="1" applyBorder="1"/>
    <xf numFmtId="0" fontId="6" fillId="0" borderId="1" xfId="0" applyFont="1" applyFill="1" applyBorder="1"/>
    <xf numFmtId="4" fontId="0" fillId="0" borderId="0" xfId="0" applyNumberFormat="1" applyFill="1"/>
    <xf numFmtId="0" fontId="0" fillId="0" borderId="0" xfId="0" applyFill="1" applyAlignment="1">
      <alignment horizontal="left"/>
    </xf>
    <xf numFmtId="0" fontId="6" fillId="0" borderId="0" xfId="1" applyFont="1"/>
    <xf numFmtId="0" fontId="6" fillId="0" borderId="0" xfId="1" applyFont="1" applyFill="1" applyAlignment="1">
      <alignment horizontal="center"/>
    </xf>
    <xf numFmtId="0" fontId="9" fillId="0" borderId="0" xfId="1" applyFont="1" applyFill="1"/>
    <xf numFmtId="4" fontId="9" fillId="0" borderId="0" xfId="1" applyNumberFormat="1" applyFont="1" applyFill="1"/>
    <xf numFmtId="0" fontId="9" fillId="0" borderId="0" xfId="1" applyFont="1"/>
    <xf numFmtId="0" fontId="11" fillId="0" borderId="0" xfId="1" applyFont="1"/>
    <xf numFmtId="4" fontId="11" fillId="0" borderId="3" xfId="1" applyNumberFormat="1" applyFont="1" applyFill="1" applyBorder="1" applyAlignment="1">
      <alignment horizontal="right"/>
    </xf>
    <xf numFmtId="49" fontId="13" fillId="0" borderId="3" xfId="2" applyNumberFormat="1" applyFont="1" applyFill="1" applyBorder="1" applyAlignment="1">
      <alignment horizontal="left" vertical="center" wrapText="1"/>
    </xf>
    <xf numFmtId="49" fontId="13" fillId="0" borderId="3" xfId="2" applyNumberFormat="1" applyFont="1" applyFill="1" applyBorder="1" applyAlignment="1">
      <alignment horizontal="center" vertical="center" wrapText="1"/>
    </xf>
    <xf numFmtId="4" fontId="13" fillId="0" borderId="3" xfId="1" applyNumberFormat="1" applyFont="1" applyFill="1" applyBorder="1" applyAlignment="1">
      <alignment horizontal="right"/>
    </xf>
    <xf numFmtId="4" fontId="13" fillId="0" borderId="5" xfId="3" applyNumberFormat="1" applyFont="1" applyFill="1" applyBorder="1" applyAlignment="1">
      <alignment horizontal="right" wrapText="1"/>
    </xf>
    <xf numFmtId="4" fontId="9" fillId="0" borderId="0" xfId="1" applyNumberFormat="1" applyFont="1"/>
    <xf numFmtId="4" fontId="15" fillId="0" borderId="0" xfId="1" applyNumberFormat="1" applyFont="1"/>
    <xf numFmtId="0" fontId="15" fillId="0" borderId="0" xfId="1" applyFont="1"/>
    <xf numFmtId="49" fontId="12" fillId="0" borderId="3" xfId="2" applyNumberFormat="1" applyFont="1" applyFill="1" applyBorder="1" applyAlignment="1">
      <alignment horizontal="left" vertical="center" wrapText="1"/>
    </xf>
    <xf numFmtId="49" fontId="12" fillId="0" borderId="3" xfId="2" applyNumberFormat="1" applyFont="1" applyFill="1" applyBorder="1" applyAlignment="1">
      <alignment horizontal="center" vertical="center" wrapText="1"/>
    </xf>
    <xf numFmtId="4" fontId="12" fillId="0" borderId="3" xfId="1" applyNumberFormat="1" applyFont="1" applyFill="1" applyBorder="1" applyAlignment="1">
      <alignment horizontal="right"/>
    </xf>
    <xf numFmtId="4" fontId="12" fillId="0" borderId="5" xfId="3" applyNumberFormat="1" applyFont="1" applyFill="1" applyBorder="1" applyAlignment="1">
      <alignment horizontal="right" wrapText="1"/>
    </xf>
    <xf numFmtId="4" fontId="6" fillId="0" borderId="0" xfId="1" applyNumberFormat="1" applyFont="1"/>
    <xf numFmtId="49" fontId="13" fillId="0" borderId="8" xfId="2" applyNumberFormat="1" applyFont="1" applyFill="1" applyBorder="1" applyAlignment="1">
      <alignment horizontal="left" vertical="center" wrapText="1"/>
    </xf>
    <xf numFmtId="49" fontId="13" fillId="0" borderId="8" xfId="2" applyNumberFormat="1" applyFont="1" applyFill="1" applyBorder="1" applyAlignment="1">
      <alignment horizontal="center" vertical="center" wrapText="1"/>
    </xf>
    <xf numFmtId="0" fontId="16" fillId="0" borderId="0" xfId="1" applyFont="1"/>
    <xf numFmtId="4" fontId="16" fillId="0" borderId="0" xfId="1" applyNumberFormat="1" applyFont="1"/>
    <xf numFmtId="49" fontId="12" fillId="0" borderId="3" xfId="1" applyNumberFormat="1" applyFont="1" applyFill="1" applyBorder="1" applyAlignment="1">
      <alignment horizontal="center"/>
    </xf>
    <xf numFmtId="49" fontId="13" fillId="0" borderId="3" xfId="1" applyNumberFormat="1" applyFont="1" applyBorder="1" applyAlignment="1">
      <alignment wrapText="1"/>
    </xf>
    <xf numFmtId="49" fontId="13" fillId="0" borderId="3" xfId="1" applyNumberFormat="1" applyFont="1" applyBorder="1"/>
    <xf numFmtId="49" fontId="12" fillId="2" borderId="3" xfId="1" applyNumberFormat="1" applyFont="1" applyFill="1" applyBorder="1"/>
    <xf numFmtId="0" fontId="13" fillId="0" borderId="0" xfId="1" applyFont="1"/>
    <xf numFmtId="0" fontId="13" fillId="0" borderId="0" xfId="1" applyFont="1" applyFill="1"/>
    <xf numFmtId="0" fontId="13" fillId="0" borderId="0" xfId="1" applyFont="1" applyFill="1" applyAlignment="1">
      <alignment horizontal="center"/>
    </xf>
    <xf numFmtId="4" fontId="13" fillId="0" borderId="0" xfId="1" applyNumberFormat="1" applyFont="1" applyFill="1"/>
    <xf numFmtId="0" fontId="9" fillId="0" borderId="0" xfId="1" applyFont="1" applyAlignment="1">
      <alignment horizontal="center"/>
    </xf>
    <xf numFmtId="0" fontId="9" fillId="0" borderId="0" xfId="1" applyFont="1" applyFill="1" applyAlignment="1">
      <alignment horizontal="center"/>
    </xf>
    <xf numFmtId="0" fontId="12" fillId="0" borderId="5" xfId="1" applyFont="1" applyFill="1" applyBorder="1"/>
    <xf numFmtId="1" fontId="13" fillId="0" borderId="3" xfId="1" applyNumberFormat="1" applyFont="1" applyBorder="1" applyAlignment="1">
      <alignment horizontal="center" wrapText="1"/>
    </xf>
    <xf numFmtId="1" fontId="13" fillId="0" borderId="3" xfId="1" applyNumberFormat="1" applyFont="1" applyFill="1" applyBorder="1" applyAlignment="1">
      <alignment horizontal="center" vertical="center"/>
    </xf>
    <xf numFmtId="0" fontId="13" fillId="0" borderId="3" xfId="1" applyFont="1" applyFill="1" applyBorder="1" applyAlignment="1">
      <alignment horizontal="center"/>
    </xf>
    <xf numFmtId="1" fontId="11" fillId="0" borderId="6" xfId="1" applyNumberFormat="1" applyFont="1" applyBorder="1" applyAlignment="1">
      <alignment horizontal="left" wrapText="1"/>
    </xf>
    <xf numFmtId="1" fontId="11" fillId="0" borderId="6" xfId="1" applyNumberFormat="1" applyFont="1" applyFill="1" applyBorder="1" applyAlignment="1">
      <alignment horizontal="center" vertical="center"/>
    </xf>
    <xf numFmtId="4" fontId="11" fillId="0" borderId="6" xfId="1" applyNumberFormat="1" applyFont="1" applyFill="1" applyBorder="1" applyAlignment="1">
      <alignment horizontal="right"/>
    </xf>
    <xf numFmtId="1" fontId="13" fillId="0" borderId="6" xfId="1" applyNumberFormat="1" applyFont="1" applyBorder="1" applyAlignment="1">
      <alignment horizontal="left" wrapText="1"/>
    </xf>
    <xf numFmtId="1" fontId="13" fillId="0" borderId="6" xfId="1" applyNumberFormat="1" applyFont="1" applyFill="1" applyBorder="1" applyAlignment="1">
      <alignment horizontal="center" vertical="center"/>
    </xf>
    <xf numFmtId="1" fontId="13" fillId="0" borderId="6" xfId="1" applyNumberFormat="1" applyFont="1" applyFill="1" applyBorder="1" applyAlignment="1">
      <alignment horizontal="center" vertical="center" wrapText="1"/>
    </xf>
    <xf numFmtId="2" fontId="12" fillId="2" borderId="3" xfId="1" applyNumberFormat="1" applyFont="1" applyFill="1" applyBorder="1"/>
    <xf numFmtId="0" fontId="13" fillId="4" borderId="11" xfId="0" applyFont="1" applyFill="1" applyBorder="1" applyAlignment="1">
      <alignment wrapText="1"/>
    </xf>
    <xf numFmtId="0" fontId="13" fillId="4" borderId="3" xfId="0" applyFont="1" applyFill="1" applyBorder="1" applyAlignment="1">
      <alignment wrapText="1"/>
    </xf>
    <xf numFmtId="0" fontId="13" fillId="4" borderId="17" xfId="0" applyFont="1" applyFill="1" applyBorder="1" applyAlignment="1">
      <alignment wrapText="1"/>
    </xf>
    <xf numFmtId="0" fontId="13" fillId="4" borderId="9" xfId="0" applyFont="1" applyFill="1" applyBorder="1" applyAlignment="1">
      <alignment wrapText="1"/>
    </xf>
    <xf numFmtId="0" fontId="13" fillId="4" borderId="8" xfId="0" applyFont="1" applyFill="1" applyBorder="1" applyAlignment="1">
      <alignment wrapText="1"/>
    </xf>
    <xf numFmtId="49" fontId="0" fillId="0" borderId="8" xfId="0" applyNumberFormat="1" applyBorder="1"/>
    <xf numFmtId="4" fontId="0" fillId="0" borderId="11" xfId="0" applyNumberFormat="1" applyBorder="1"/>
    <xf numFmtId="4" fontId="0" fillId="0" borderId="3" xfId="0" applyNumberFormat="1" applyBorder="1"/>
    <xf numFmtId="4" fontId="0" fillId="0" borderId="17" xfId="0" applyNumberFormat="1" applyBorder="1"/>
    <xf numFmtId="4" fontId="0" fillId="0" borderId="9" xfId="0" applyNumberFormat="1" applyBorder="1"/>
    <xf numFmtId="4" fontId="0" fillId="0" borderId="8" xfId="0" applyNumberFormat="1" applyBorder="1"/>
    <xf numFmtId="1" fontId="0" fillId="0" borderId="8" xfId="0" applyNumberFormat="1" applyBorder="1"/>
    <xf numFmtId="0" fontId="18" fillId="0" borderId="0" xfId="0" applyFont="1"/>
    <xf numFmtId="4" fontId="18" fillId="0" borderId="0" xfId="0" applyNumberFormat="1" applyFont="1"/>
    <xf numFmtId="4" fontId="0" fillId="0" borderId="0" xfId="0" applyNumberFormat="1"/>
    <xf numFmtId="49" fontId="12" fillId="0" borderId="5" xfId="2" applyNumberFormat="1" applyFont="1" applyFill="1" applyBorder="1" applyAlignment="1">
      <alignment horizontal="center" vertical="center" wrapText="1"/>
    </xf>
    <xf numFmtId="0" fontId="11" fillId="0" borderId="0" xfId="1" applyFont="1" applyFill="1"/>
    <xf numFmtId="0" fontId="11" fillId="0" borderId="0" xfId="1" applyFont="1" applyFill="1" applyAlignment="1">
      <alignment horizontal="center"/>
    </xf>
    <xf numFmtId="4" fontId="11" fillId="0" borderId="0" xfId="1" applyNumberFormat="1" applyFont="1" applyFill="1"/>
    <xf numFmtId="0" fontId="23" fillId="0" borderId="0" xfId="1" applyFont="1"/>
    <xf numFmtId="0" fontId="24" fillId="0" borderId="0" xfId="1" applyFont="1"/>
    <xf numFmtId="0" fontId="24" fillId="0" borderId="0" xfId="1" applyFont="1" applyFill="1" applyAlignment="1">
      <alignment horizontal="center"/>
    </xf>
    <xf numFmtId="4" fontId="24" fillId="0" borderId="0" xfId="1" applyNumberFormat="1" applyFont="1" applyFill="1"/>
    <xf numFmtId="0" fontId="11" fillId="0" borderId="0" xfId="0" applyFont="1" applyFill="1" applyAlignment="1">
      <alignment horizontal="left"/>
    </xf>
    <xf numFmtId="0" fontId="11" fillId="0" borderId="0" xfId="0" applyFont="1" applyFill="1"/>
    <xf numFmtId="4" fontId="11" fillId="0" borderId="0" xfId="0" applyNumberFormat="1" applyFont="1" applyFill="1"/>
    <xf numFmtId="49" fontId="12" fillId="0" borderId="8" xfId="2" applyNumberFormat="1" applyFont="1" applyFill="1" applyBorder="1" applyAlignment="1">
      <alignment horizontal="left" vertical="center" wrapText="1"/>
    </xf>
    <xf numFmtId="49" fontId="12" fillId="0" borderId="8" xfId="2" applyNumberFormat="1" applyFont="1" applyFill="1" applyBorder="1" applyAlignment="1">
      <alignment horizontal="center" vertical="center" wrapText="1"/>
    </xf>
    <xf numFmtId="4" fontId="26" fillId="0" borderId="0" xfId="1" applyNumberFormat="1" applyFont="1"/>
    <xf numFmtId="0" fontId="26" fillId="0" borderId="0" xfId="1" applyFont="1"/>
    <xf numFmtId="49" fontId="13" fillId="0" borderId="5" xfId="2" applyNumberFormat="1" applyFont="1" applyFill="1" applyBorder="1" applyAlignment="1">
      <alignment horizontal="center" vertical="center" wrapText="1"/>
    </xf>
    <xf numFmtId="4" fontId="13" fillId="0" borderId="5" xfId="1" applyNumberFormat="1" applyFont="1" applyFill="1" applyBorder="1" applyAlignment="1">
      <alignment horizontal="right"/>
    </xf>
    <xf numFmtId="0" fontId="11" fillId="0" borderId="12" xfId="1" applyFont="1" applyBorder="1"/>
    <xf numFmtId="0" fontId="11" fillId="0" borderId="13" xfId="1" applyFont="1" applyBorder="1"/>
    <xf numFmtId="0" fontId="6" fillId="0" borderId="0" xfId="0" applyFont="1" applyFill="1" applyAlignment="1">
      <alignment horizontal="left" wrapText="1"/>
    </xf>
    <xf numFmtId="0" fontId="28" fillId="0" borderId="0" xfId="6" applyFont="1" applyFill="1"/>
    <xf numFmtId="0" fontId="28" fillId="0" borderId="0" xfId="6" applyFont="1" applyFill="1" applyBorder="1" applyAlignment="1"/>
    <xf numFmtId="0" fontId="11" fillId="0" borderId="0" xfId="0" applyFont="1"/>
    <xf numFmtId="2" fontId="28" fillId="0" borderId="0" xfId="6" applyNumberFormat="1" applyFont="1" applyFill="1" applyBorder="1" applyAlignment="1">
      <alignment horizontal="left" wrapText="1"/>
    </xf>
    <xf numFmtId="0" fontId="28" fillId="0" borderId="0" xfId="6" applyFont="1" applyFill="1" applyBorder="1"/>
    <xf numFmtId="0" fontId="29" fillId="0" borderId="0" xfId="6" applyFont="1" applyFill="1" applyBorder="1" applyAlignment="1">
      <alignment horizontal="center"/>
    </xf>
    <xf numFmtId="4" fontId="11" fillId="0" borderId="0" xfId="1" applyNumberFormat="1" applyFont="1"/>
    <xf numFmtId="2" fontId="28" fillId="0" borderId="0" xfId="6" applyNumberFormat="1" applyFont="1" applyFill="1" applyBorder="1" applyAlignment="1">
      <alignment vertical="top" wrapText="1"/>
    </xf>
    <xf numFmtId="4" fontId="30" fillId="0" borderId="0" xfId="0" applyNumberFormat="1" applyFont="1"/>
    <xf numFmtId="0" fontId="30" fillId="0" borderId="0" xfId="0" applyFont="1"/>
    <xf numFmtId="0" fontId="6" fillId="0" borderId="0" xfId="0" applyFont="1" applyFill="1" applyAlignment="1">
      <alignment horizontal="left"/>
    </xf>
    <xf numFmtId="0" fontId="0" fillId="0" borderId="2" xfId="0" applyFill="1" applyBorder="1" applyAlignment="1">
      <alignment horizontal="left"/>
    </xf>
    <xf numFmtId="0" fontId="31" fillId="0" borderId="0" xfId="0" applyFont="1" applyFill="1" applyAlignment="1">
      <alignment wrapText="1"/>
    </xf>
    <xf numFmtId="0" fontId="30" fillId="0" borderId="0" xfId="0" applyFont="1" applyFill="1"/>
    <xf numFmtId="0" fontId="30" fillId="0" borderId="0" xfId="0" applyFont="1" applyFill="1" applyAlignment="1"/>
    <xf numFmtId="0" fontId="30" fillId="0" borderId="0" xfId="0" applyFont="1" applyFill="1" applyAlignment="1">
      <alignment vertical="center"/>
    </xf>
    <xf numFmtId="0" fontId="30" fillId="0" borderId="0" xfId="0" applyFont="1" applyFill="1" applyAlignment="1">
      <alignment horizontal="right"/>
    </xf>
    <xf numFmtId="4" fontId="30" fillId="0" borderId="0" xfId="0" applyNumberFormat="1" applyFont="1" applyFill="1"/>
    <xf numFmtId="0" fontId="32" fillId="0" borderId="0" xfId="6" applyFont="1" applyFill="1" applyBorder="1" applyAlignment="1">
      <alignment horizontal="center"/>
    </xf>
    <xf numFmtId="1" fontId="12" fillId="0" borderId="6" xfId="1" applyNumberFormat="1" applyFont="1" applyBorder="1" applyAlignment="1">
      <alignment horizontal="left"/>
    </xf>
    <xf numFmtId="0" fontId="0" fillId="0" borderId="3" xfId="0" applyFill="1" applyBorder="1" applyAlignment="1">
      <alignment horizontal="center"/>
    </xf>
    <xf numFmtId="0" fontId="0" fillId="0" borderId="8" xfId="0" applyFill="1" applyBorder="1" applyAlignment="1">
      <alignment wrapText="1"/>
    </xf>
    <xf numFmtId="0" fontId="0" fillId="0" borderId="8" xfId="0" applyFill="1" applyBorder="1" applyAlignment="1"/>
    <xf numFmtId="0" fontId="0" fillId="0" borderId="10" xfId="0" applyFill="1" applyBorder="1" applyAlignment="1"/>
    <xf numFmtId="0" fontId="0" fillId="0" borderId="9" xfId="0" applyFill="1" applyBorder="1" applyAlignment="1"/>
    <xf numFmtId="0" fontId="0" fillId="0" borderId="8" xfId="0" applyFill="1" applyBorder="1" applyAlignment="1">
      <alignment horizontal="center" wrapText="1"/>
    </xf>
    <xf numFmtId="49" fontId="0" fillId="0" borderId="9" xfId="0" applyNumberFormat="1" applyFill="1" applyBorder="1" applyAlignment="1">
      <alignment horizontal="center" wrapText="1"/>
    </xf>
    <xf numFmtId="4" fontId="31" fillId="0" borderId="0" xfId="0" applyNumberFormat="1" applyFont="1"/>
    <xf numFmtId="0" fontId="0" fillId="0" borderId="0" xfId="0" applyFont="1"/>
    <xf numFmtId="0" fontId="0" fillId="0" borderId="0" xfId="0" applyFont="1" applyAlignment="1">
      <alignment horizontal="right"/>
    </xf>
    <xf numFmtId="0" fontId="0" fillId="0" borderId="0" xfId="0" applyFont="1" applyAlignment="1">
      <alignment horizontal="left"/>
    </xf>
    <xf numFmtId="0" fontId="0" fillId="0" borderId="3" xfId="0" applyFont="1" applyBorder="1" applyAlignment="1">
      <alignment horizontal="center" vertical="center"/>
    </xf>
    <xf numFmtId="0" fontId="0" fillId="0" borderId="3" xfId="15" applyFont="1" applyBorder="1" applyAlignment="1">
      <alignment horizontal="center" vertical="center" wrapText="1"/>
    </xf>
    <xf numFmtId="0" fontId="0" fillId="0" borderId="3" xfId="0" applyFont="1" applyBorder="1" applyAlignment="1">
      <alignment horizontal="center"/>
    </xf>
    <xf numFmtId="0" fontId="0" fillId="0" borderId="3" xfId="0" applyFont="1" applyBorder="1" applyAlignment="1">
      <alignment wrapText="1"/>
    </xf>
    <xf numFmtId="49" fontId="0" fillId="0" borderId="3" xfId="0" applyNumberFormat="1" applyFont="1" applyBorder="1" applyAlignment="1">
      <alignment horizontal="center" vertical="center"/>
    </xf>
    <xf numFmtId="4" fontId="0" fillId="0" borderId="3" xfId="0" applyNumberFormat="1" applyFont="1" applyBorder="1" applyAlignment="1">
      <alignment horizontal="center" vertical="center"/>
    </xf>
    <xf numFmtId="0" fontId="0" fillId="0" borderId="3" xfId="0" applyFont="1" applyBorder="1" applyAlignment="1">
      <alignment horizontal="left" vertical="top" wrapText="1" indent="3"/>
    </xf>
    <xf numFmtId="0" fontId="0" fillId="0" borderId="3" xfId="0" applyFont="1" applyBorder="1" applyAlignment="1">
      <alignment horizontal="left" wrapText="1"/>
    </xf>
    <xf numFmtId="0" fontId="0" fillId="0" borderId="0" xfId="0" applyFont="1" applyBorder="1" applyAlignment="1">
      <alignment horizontal="left" vertical="top" wrapText="1" indent="3"/>
    </xf>
    <xf numFmtId="49" fontId="0" fillId="0" borderId="0" xfId="0" applyNumberFormat="1" applyFont="1" applyBorder="1" applyAlignment="1">
      <alignment horizontal="center" vertical="center"/>
    </xf>
    <xf numFmtId="4" fontId="0" fillId="0" borderId="0" xfId="0" applyNumberFormat="1" applyFont="1" applyBorder="1" applyAlignment="1">
      <alignment horizontal="center" vertical="center"/>
    </xf>
    <xf numFmtId="49" fontId="13" fillId="7" borderId="3" xfId="0" applyNumberFormat="1" applyFont="1" applyFill="1" applyBorder="1" applyAlignment="1">
      <alignment horizontal="center" vertical="center" wrapText="1"/>
    </xf>
    <xf numFmtId="0" fontId="0" fillId="0" borderId="3" xfId="0" applyBorder="1" applyAlignment="1">
      <alignment horizontal="center"/>
    </xf>
    <xf numFmtId="0" fontId="13" fillId="7" borderId="3" xfId="0" applyNumberFormat="1" applyFont="1" applyFill="1" applyBorder="1" applyAlignment="1">
      <alignment horizontal="left" vertical="center" wrapText="1"/>
    </xf>
    <xf numFmtId="4" fontId="0" fillId="0" borderId="3" xfId="0" applyNumberFormat="1" applyBorder="1" applyAlignment="1">
      <alignment horizontal="right"/>
    </xf>
    <xf numFmtId="0" fontId="13" fillId="7" borderId="3" xfId="0" applyNumberFormat="1" applyFont="1" applyFill="1" applyBorder="1" applyAlignment="1">
      <alignment vertical="center" wrapText="1"/>
    </xf>
    <xf numFmtId="0" fontId="0" fillId="0" borderId="3" xfId="0" applyBorder="1" applyAlignment="1">
      <alignment wrapText="1"/>
    </xf>
    <xf numFmtId="0" fontId="0" fillId="0" borderId="3" xfId="0" applyBorder="1"/>
    <xf numFmtId="49" fontId="13" fillId="7" borderId="8" xfId="0" applyNumberFormat="1" applyFont="1" applyFill="1" applyBorder="1" applyAlignment="1">
      <alignment horizontal="center" vertical="center" wrapText="1"/>
    </xf>
    <xf numFmtId="49" fontId="0" fillId="0" borderId="3" xfId="0" applyNumberFormat="1" applyBorder="1" applyAlignment="1">
      <alignment horizontal="center"/>
    </xf>
    <xf numFmtId="0" fontId="0" fillId="0" borderId="8" xfId="0" applyBorder="1" applyAlignment="1">
      <alignment wrapText="1"/>
    </xf>
    <xf numFmtId="0" fontId="6" fillId="0" borderId="0" xfId="0" applyFont="1" applyFill="1" applyBorder="1" applyAlignment="1">
      <alignment horizontal="right"/>
    </xf>
    <xf numFmtId="0" fontId="33" fillId="0" borderId="0" xfId="0" applyFont="1"/>
    <xf numFmtId="10" fontId="0" fillId="0" borderId="3" xfId="0" applyNumberFormat="1" applyBorder="1"/>
    <xf numFmtId="4" fontId="0" fillId="0" borderId="3" xfId="0" applyNumberFormat="1" applyBorder="1" applyAlignment="1">
      <alignment horizontal="center"/>
    </xf>
    <xf numFmtId="0" fontId="7" fillId="0" borderId="0" xfId="1" applyFont="1"/>
    <xf numFmtId="0" fontId="34" fillId="0" borderId="0" xfId="6" applyFont="1" applyFill="1" applyBorder="1" applyAlignment="1">
      <alignment horizontal="right"/>
    </xf>
    <xf numFmtId="0" fontId="7" fillId="0" borderId="0" xfId="6" applyFont="1" applyFill="1" applyBorder="1"/>
    <xf numFmtId="1" fontId="7" fillId="0" borderId="0" xfId="6" applyNumberFormat="1" applyFont="1" applyFill="1" applyBorder="1"/>
    <xf numFmtId="0" fontId="7" fillId="0" borderId="0" xfId="6" applyFont="1" applyFill="1" applyBorder="1" applyAlignment="1">
      <alignment horizontal="center"/>
    </xf>
    <xf numFmtId="0" fontId="7" fillId="0" borderId="0" xfId="6" applyFont="1" applyFill="1" applyBorder="1" applyAlignment="1">
      <alignment horizontal="center" vertical="center"/>
    </xf>
    <xf numFmtId="0" fontId="7" fillId="0" borderId="0" xfId="6" applyFont="1" applyFill="1" applyBorder="1" applyAlignment="1"/>
    <xf numFmtId="0" fontId="35" fillId="0" borderId="0" xfId="6" applyFont="1" applyFill="1" applyBorder="1" applyAlignment="1">
      <alignment horizontal="right"/>
    </xf>
    <xf numFmtId="0" fontId="35" fillId="0" borderId="0" xfId="6" applyFont="1" applyFill="1" applyBorder="1"/>
    <xf numFmtId="0" fontId="35" fillId="0" borderId="0" xfId="1" applyFont="1"/>
    <xf numFmtId="0" fontId="34" fillId="0" borderId="0" xfId="6" applyFont="1" applyFill="1" applyBorder="1"/>
    <xf numFmtId="0" fontId="37" fillId="0" borderId="8" xfId="6" applyFont="1" applyFill="1" applyBorder="1" applyAlignment="1">
      <alignment vertical="center" wrapText="1"/>
    </xf>
    <xf numFmtId="0" fontId="37" fillId="0" borderId="10" xfId="6" applyFont="1" applyFill="1" applyBorder="1" applyAlignment="1">
      <alignment vertical="center" wrapText="1"/>
    </xf>
    <xf numFmtId="0" fontId="37" fillId="0" borderId="10" xfId="6" applyFont="1" applyFill="1" applyBorder="1" applyAlignment="1">
      <alignment horizontal="left" vertical="center" wrapText="1"/>
    </xf>
    <xf numFmtId="0" fontId="37" fillId="0" borderId="3" xfId="6" applyFont="1" applyFill="1" applyBorder="1" applyAlignment="1">
      <alignment horizontal="center" vertical="center" wrapText="1"/>
    </xf>
    <xf numFmtId="0" fontId="37" fillId="0" borderId="0" xfId="1" applyFont="1" applyAlignment="1">
      <alignment horizontal="center" vertical="center"/>
    </xf>
    <xf numFmtId="0" fontId="38" fillId="0" borderId="10" xfId="6" applyFont="1" applyFill="1" applyBorder="1"/>
    <xf numFmtId="0" fontId="38" fillId="0" borderId="3" xfId="6" applyFont="1" applyFill="1" applyBorder="1" applyAlignment="1">
      <alignment horizontal="center"/>
    </xf>
    <xf numFmtId="0" fontId="38" fillId="0" borderId="8" xfId="6" applyFont="1" applyFill="1" applyBorder="1" applyAlignment="1">
      <alignment horizontal="center"/>
    </xf>
    <xf numFmtId="4" fontId="38" fillId="0" borderId="3" xfId="6" applyNumberFormat="1" applyFont="1" applyFill="1" applyBorder="1" applyAlignment="1">
      <alignment horizontal="center"/>
    </xf>
    <xf numFmtId="0" fontId="7" fillId="0" borderId="2" xfId="6" applyFont="1" applyFill="1" applyBorder="1"/>
    <xf numFmtId="0" fontId="39" fillId="3" borderId="2" xfId="6" applyFont="1" applyFill="1" applyBorder="1"/>
    <xf numFmtId="0" fontId="39" fillId="0" borderId="2" xfId="6" applyFont="1" applyFill="1" applyBorder="1"/>
    <xf numFmtId="4" fontId="39" fillId="3" borderId="2" xfId="6" applyNumberFormat="1" applyFont="1" applyFill="1" applyBorder="1"/>
    <xf numFmtId="4" fontId="39" fillId="0" borderId="2" xfId="6" applyNumberFormat="1" applyFont="1" applyFill="1" applyBorder="1"/>
    <xf numFmtId="0" fontId="7" fillId="0" borderId="7" xfId="6" applyFont="1" applyFill="1" applyBorder="1" applyAlignment="1">
      <alignment horizontal="center"/>
    </xf>
    <xf numFmtId="0" fontId="7" fillId="0" borderId="24" xfId="6" applyFont="1" applyFill="1" applyBorder="1" applyAlignment="1">
      <alignment horizontal="center"/>
    </xf>
    <xf numFmtId="4" fontId="7" fillId="0" borderId="3" xfId="6" applyNumberFormat="1" applyFont="1" applyFill="1" applyBorder="1" applyAlignment="1">
      <alignment horizontal="center"/>
    </xf>
    <xf numFmtId="0" fontId="39" fillId="0" borderId="0" xfId="6" applyFont="1" applyFill="1" applyBorder="1"/>
    <xf numFmtId="4" fontId="39" fillId="0" borderId="0" xfId="6" applyNumberFormat="1" applyFont="1" applyFill="1" applyBorder="1"/>
    <xf numFmtId="0" fontId="39" fillId="3" borderId="0" xfId="6" applyFont="1" applyFill="1" applyBorder="1"/>
    <xf numFmtId="4" fontId="39" fillId="3" borderId="0" xfId="6" applyNumberFormat="1" applyFont="1" applyFill="1" applyBorder="1"/>
    <xf numFmtId="0" fontId="7" fillId="0" borderId="1" xfId="6" applyFont="1" applyFill="1" applyBorder="1"/>
    <xf numFmtId="0" fontId="39" fillId="0" borderId="1" xfId="6" applyFont="1" applyFill="1" applyBorder="1"/>
    <xf numFmtId="4" fontId="39" fillId="0" borderId="1" xfId="6" applyNumberFormat="1" applyFont="1" applyFill="1" applyBorder="1"/>
    <xf numFmtId="4" fontId="40" fillId="0" borderId="3" xfId="6" applyNumberFormat="1" applyFont="1" applyFill="1" applyBorder="1" applyAlignment="1">
      <alignment horizontal="center"/>
    </xf>
    <xf numFmtId="0" fontId="41" fillId="0" borderId="24" xfId="6" applyFont="1" applyFill="1" applyBorder="1"/>
    <xf numFmtId="0" fontId="41" fillId="0" borderId="0" xfId="6" applyFont="1" applyFill="1" applyBorder="1"/>
    <xf numFmtId="4" fontId="36" fillId="3" borderId="0" xfId="6" applyNumberFormat="1" applyFont="1" applyFill="1" applyBorder="1"/>
    <xf numFmtId="1" fontId="41" fillId="0" borderId="0" xfId="6" applyNumberFormat="1" applyFont="1" applyFill="1" applyBorder="1"/>
    <xf numFmtId="0" fontId="41" fillId="0" borderId="7" xfId="6" applyFont="1" applyFill="1" applyBorder="1" applyAlignment="1">
      <alignment horizontal="center"/>
    </xf>
    <xf numFmtId="0" fontId="41" fillId="0" borderId="24" xfId="6" applyFont="1" applyFill="1" applyBorder="1" applyAlignment="1">
      <alignment horizontal="center"/>
    </xf>
    <xf numFmtId="4" fontId="41" fillId="0" borderId="3" xfId="6" applyNumberFormat="1" applyFont="1" applyFill="1" applyBorder="1" applyAlignment="1">
      <alignment horizontal="center"/>
    </xf>
    <xf numFmtId="0" fontId="41" fillId="0" borderId="1" xfId="6" applyFont="1" applyFill="1" applyBorder="1"/>
    <xf numFmtId="4" fontId="36" fillId="3" borderId="1" xfId="6" applyNumberFormat="1" applyFont="1" applyFill="1" applyBorder="1"/>
    <xf numFmtId="0" fontId="42" fillId="0" borderId="19" xfId="6" applyFont="1" applyFill="1" applyBorder="1"/>
    <xf numFmtId="0" fontId="42" fillId="0" borderId="2" xfId="6" applyFont="1" applyFill="1" applyBorder="1"/>
    <xf numFmtId="0" fontId="42" fillId="0" borderId="5" xfId="6" applyFont="1" applyFill="1" applyBorder="1" applyAlignment="1">
      <alignment horizontal="center"/>
    </xf>
    <xf numFmtId="0" fontId="42" fillId="0" borderId="19" xfId="6" applyFont="1" applyFill="1" applyBorder="1" applyAlignment="1">
      <alignment horizontal="center"/>
    </xf>
    <xf numFmtId="4" fontId="42" fillId="0" borderId="3" xfId="6" applyNumberFormat="1" applyFont="1" applyFill="1" applyBorder="1" applyAlignment="1">
      <alignment horizontal="center"/>
    </xf>
    <xf numFmtId="0" fontId="36" fillId="3" borderId="0" xfId="6" applyFont="1" applyFill="1" applyBorder="1" applyAlignment="1">
      <alignment horizontal="right"/>
    </xf>
    <xf numFmtId="0" fontId="42" fillId="0" borderId="24" xfId="6" applyFont="1" applyFill="1" applyBorder="1"/>
    <xf numFmtId="0" fontId="42" fillId="0" borderId="0" xfId="6" applyFont="1" applyFill="1" applyBorder="1"/>
    <xf numFmtId="0" fontId="42" fillId="0" borderId="7" xfId="6" applyFont="1" applyFill="1" applyBorder="1" applyAlignment="1">
      <alignment horizontal="center"/>
    </xf>
    <xf numFmtId="0" fontId="42" fillId="0" borderId="24" xfId="6" applyFont="1" applyFill="1" applyBorder="1" applyAlignment="1">
      <alignment horizontal="center"/>
    </xf>
    <xf numFmtId="0" fontId="35" fillId="0" borderId="24" xfId="6" applyFont="1" applyFill="1" applyBorder="1" applyAlignment="1">
      <alignment horizontal="right"/>
    </xf>
    <xf numFmtId="0" fontId="36" fillId="3" borderId="0" xfId="6" applyFont="1" applyFill="1" applyBorder="1" applyAlignment="1">
      <alignment horizontal="left"/>
    </xf>
    <xf numFmtId="0" fontId="36" fillId="3" borderId="0" xfId="6" applyFont="1" applyFill="1" applyBorder="1"/>
    <xf numFmtId="0" fontId="36" fillId="0" borderId="0" xfId="6" applyFont="1" applyFill="1" applyBorder="1"/>
    <xf numFmtId="166" fontId="36" fillId="3" borderId="0" xfId="6" applyNumberFormat="1" applyFont="1" applyFill="1" applyBorder="1" applyAlignment="1">
      <alignment horizontal="left"/>
    </xf>
    <xf numFmtId="0" fontId="40" fillId="0" borderId="24" xfId="6" applyFont="1" applyFill="1" applyBorder="1"/>
    <xf numFmtId="0" fontId="40" fillId="0" borderId="0" xfId="6" applyFont="1" applyFill="1" applyBorder="1"/>
    <xf numFmtId="0" fontId="40" fillId="0" borderId="21" xfId="6" applyFont="1" applyFill="1" applyBorder="1"/>
    <xf numFmtId="0" fontId="42" fillId="0" borderId="1" xfId="6" applyFont="1" applyFill="1" applyBorder="1"/>
    <xf numFmtId="0" fontId="36" fillId="3" borderId="1" xfId="6" applyFont="1" applyFill="1" applyBorder="1" applyAlignment="1">
      <alignment horizontal="right"/>
    </xf>
    <xf numFmtId="0" fontId="42" fillId="0" borderId="6" xfId="6" applyFont="1" applyFill="1" applyBorder="1" applyAlignment="1">
      <alignment horizontal="center"/>
    </xf>
    <xf numFmtId="0" fontId="42" fillId="0" borderId="21" xfId="6" applyFont="1" applyFill="1" applyBorder="1" applyAlignment="1">
      <alignment horizontal="center"/>
    </xf>
    <xf numFmtId="0" fontId="41" fillId="0" borderId="24" xfId="6" applyFont="1" applyFill="1" applyBorder="1" applyAlignment="1">
      <alignment horizontal="right"/>
    </xf>
    <xf numFmtId="0" fontId="36" fillId="0" borderId="24" xfId="6" applyFont="1" applyFill="1" applyBorder="1" applyAlignment="1">
      <alignment horizontal="right"/>
    </xf>
    <xf numFmtId="0" fontId="36" fillId="0" borderId="0" xfId="6" applyFont="1" applyFill="1" applyBorder="1" applyAlignment="1">
      <alignment horizontal="right"/>
    </xf>
    <xf numFmtId="0" fontId="9" fillId="0" borderId="0" xfId="1" applyFont="1" applyBorder="1"/>
    <xf numFmtId="0" fontId="6" fillId="0" borderId="0" xfId="1" applyFont="1" applyBorder="1"/>
    <xf numFmtId="0" fontId="41" fillId="0" borderId="0" xfId="6" applyFont="1" applyFill="1" applyBorder="1" applyAlignment="1">
      <alignment horizontal="right"/>
    </xf>
    <xf numFmtId="0" fontId="43" fillId="0" borderId="19" xfId="6" applyFont="1" applyFill="1" applyBorder="1" applyAlignment="1">
      <alignment vertical="center"/>
    </xf>
    <xf numFmtId="0" fontId="43" fillId="0" borderId="2" xfId="6" applyFont="1" applyFill="1" applyBorder="1" applyAlignment="1">
      <alignment vertical="center"/>
    </xf>
    <xf numFmtId="0" fontId="43" fillId="0" borderId="5" xfId="6" applyFont="1" applyFill="1" applyBorder="1" applyAlignment="1">
      <alignment horizontal="center" vertical="center"/>
    </xf>
    <xf numFmtId="0" fontId="43" fillId="0" borderId="19" xfId="6" applyFont="1" applyFill="1" applyBorder="1" applyAlignment="1">
      <alignment horizontal="center" vertical="center"/>
    </xf>
    <xf numFmtId="0" fontId="44" fillId="0" borderId="24" xfId="6" applyFont="1" applyFill="1" applyBorder="1"/>
    <xf numFmtId="0" fontId="44" fillId="0" borderId="0" xfId="6" applyFont="1" applyFill="1" applyBorder="1"/>
    <xf numFmtId="4" fontId="36" fillId="0" borderId="0" xfId="6" applyNumberFormat="1" applyFont="1" applyFill="1" applyBorder="1"/>
    <xf numFmtId="1" fontId="44" fillId="0" borderId="0" xfId="6" applyNumberFormat="1" applyFont="1" applyFill="1" applyBorder="1"/>
    <xf numFmtId="0" fontId="44" fillId="0" borderId="24" xfId="6" applyFont="1" applyFill="1" applyBorder="1" applyAlignment="1">
      <alignment horizontal="center"/>
    </xf>
    <xf numFmtId="0" fontId="44" fillId="0" borderId="7" xfId="6" applyFont="1" applyFill="1" applyBorder="1" applyAlignment="1">
      <alignment horizontal="center"/>
    </xf>
    <xf numFmtId="4" fontId="44" fillId="0" borderId="3" xfId="6" applyNumberFormat="1" applyFont="1" applyFill="1" applyBorder="1" applyAlignment="1">
      <alignment horizontal="center"/>
    </xf>
    <xf numFmtId="0" fontId="39" fillId="0" borderId="24" xfId="6" applyFont="1" applyFill="1" applyBorder="1"/>
    <xf numFmtId="2" fontId="35" fillId="3" borderId="0" xfId="6" applyNumberFormat="1" applyFont="1" applyFill="1" applyBorder="1"/>
    <xf numFmtId="167" fontId="35" fillId="3" borderId="0" xfId="6" applyNumberFormat="1" applyFont="1" applyFill="1" applyBorder="1"/>
    <xf numFmtId="0" fontId="35" fillId="3" borderId="0" xfId="6" applyFont="1" applyFill="1" applyBorder="1"/>
    <xf numFmtId="0" fontId="39" fillId="0" borderId="24" xfId="6" applyFont="1" applyFill="1" applyBorder="1" applyAlignment="1">
      <alignment horizontal="center"/>
    </xf>
    <xf numFmtId="0" fontId="39" fillId="0" borderId="7" xfId="6" applyFont="1" applyFill="1" applyBorder="1" applyAlignment="1">
      <alignment horizontal="center"/>
    </xf>
    <xf numFmtId="4" fontId="39" fillId="0" borderId="3" xfId="6" applyNumberFormat="1" applyFont="1" applyFill="1" applyBorder="1" applyAlignment="1">
      <alignment horizontal="center"/>
    </xf>
    <xf numFmtId="4" fontId="35" fillId="3" borderId="0" xfId="6" applyNumberFormat="1" applyFont="1" applyFill="1" applyBorder="1"/>
    <xf numFmtId="0" fontId="44" fillId="0" borderId="0" xfId="6" applyFont="1" applyFill="1" applyBorder="1" applyAlignment="1">
      <alignment horizontal="right"/>
    </xf>
    <xf numFmtId="0" fontId="44" fillId="0" borderId="24" xfId="6" applyFont="1" applyFill="1" applyBorder="1" applyAlignment="1">
      <alignment horizontal="left"/>
    </xf>
    <xf numFmtId="0" fontId="7" fillId="0" borderId="24" xfId="6" applyFont="1" applyFill="1" applyBorder="1"/>
    <xf numFmtId="4" fontId="7" fillId="0" borderId="0" xfId="6" applyNumberFormat="1" applyFont="1" applyFill="1" applyBorder="1"/>
    <xf numFmtId="0" fontId="44" fillId="3" borderId="24" xfId="6" applyFont="1" applyFill="1" applyBorder="1"/>
    <xf numFmtId="0" fontId="39" fillId="0" borderId="0" xfId="6" applyFont="1" applyFill="1" applyBorder="1" applyAlignment="1">
      <alignment horizontal="right"/>
    </xf>
    <xf numFmtId="0" fontId="45" fillId="0" borderId="0" xfId="1" applyFont="1" applyBorder="1"/>
    <xf numFmtId="0" fontId="45" fillId="0" borderId="0" xfId="1" applyFont="1"/>
    <xf numFmtId="49" fontId="36" fillId="0" borderId="0" xfId="6" applyNumberFormat="1" applyFont="1" applyFill="1" applyBorder="1"/>
    <xf numFmtId="0" fontId="7" fillId="0" borderId="0" xfId="6" applyFont="1" applyFill="1" applyBorder="1" applyAlignment="1">
      <alignment horizontal="right"/>
    </xf>
    <xf numFmtId="0" fontId="46" fillId="0" borderId="0" xfId="1" applyFont="1" applyBorder="1"/>
    <xf numFmtId="0" fontId="46" fillId="0" borderId="0" xfId="1" applyFont="1"/>
    <xf numFmtId="0" fontId="35" fillId="0" borderId="24" xfId="6" applyFont="1" applyFill="1" applyBorder="1" applyAlignment="1">
      <alignment horizontal="center"/>
    </xf>
    <xf numFmtId="0" fontId="35" fillId="0" borderId="7" xfId="6" applyFont="1" applyFill="1" applyBorder="1" applyAlignment="1">
      <alignment horizontal="center"/>
    </xf>
    <xf numFmtId="49" fontId="40" fillId="0" borderId="0" xfId="6" applyNumberFormat="1" applyFont="1" applyFill="1" applyBorder="1"/>
    <xf numFmtId="3" fontId="7" fillId="0" borderId="0" xfId="6" applyNumberFormat="1" applyFont="1" applyFill="1" applyBorder="1"/>
    <xf numFmtId="49" fontId="40" fillId="0" borderId="24" xfId="6" applyNumberFormat="1" applyFont="1" applyFill="1" applyBorder="1" applyAlignment="1">
      <alignment horizontal="center"/>
    </xf>
    <xf numFmtId="49" fontId="40" fillId="0" borderId="7" xfId="6" applyNumberFormat="1" applyFont="1" applyFill="1" applyBorder="1" applyAlignment="1">
      <alignment horizontal="center"/>
    </xf>
    <xf numFmtId="0" fontId="39" fillId="0" borderId="24" xfId="6" applyFont="1" applyFill="1" applyBorder="1" applyAlignment="1">
      <alignment horizontal="right"/>
    </xf>
    <xf numFmtId="0" fontId="41" fillId="3" borderId="0" xfId="6" applyFont="1" applyFill="1" applyBorder="1" applyAlignment="1">
      <alignment horizontal="left"/>
    </xf>
    <xf numFmtId="166" fontId="36" fillId="3" borderId="0" xfId="6" applyNumberFormat="1" applyFont="1" applyFill="1" applyBorder="1"/>
    <xf numFmtId="49" fontId="36" fillId="3" borderId="0" xfId="6" applyNumberFormat="1" applyFont="1" applyFill="1" applyBorder="1"/>
    <xf numFmtId="2" fontId="36" fillId="3" borderId="0" xfId="6" applyNumberFormat="1" applyFont="1" applyFill="1" applyBorder="1"/>
    <xf numFmtId="0" fontId="9" fillId="0" borderId="0" xfId="1" applyFont="1" applyFill="1" applyBorder="1"/>
    <xf numFmtId="0" fontId="40" fillId="0" borderId="24" xfId="6" applyFont="1" applyFill="1" applyBorder="1" applyAlignment="1">
      <alignment horizontal="center"/>
    </xf>
    <xf numFmtId="0" fontId="40" fillId="0" borderId="7" xfId="6" applyFont="1" applyFill="1" applyBorder="1" applyAlignment="1">
      <alignment horizontal="center"/>
    </xf>
    <xf numFmtId="1" fontId="36" fillId="0" borderId="0" xfId="6" applyNumberFormat="1" applyFont="1" applyFill="1" applyBorder="1"/>
    <xf numFmtId="0" fontId="36" fillId="0" borderId="24" xfId="6" applyFont="1" applyFill="1" applyBorder="1" applyAlignment="1">
      <alignment horizontal="center"/>
    </xf>
    <xf numFmtId="0" fontId="36" fillId="0" borderId="7" xfId="6" applyFont="1" applyFill="1" applyBorder="1" applyAlignment="1">
      <alignment horizontal="center"/>
    </xf>
    <xf numFmtId="1" fontId="40" fillId="0" borderId="0" xfId="6" applyNumberFormat="1" applyFont="1" applyFill="1" applyBorder="1"/>
    <xf numFmtId="4" fontId="42" fillId="0" borderId="0" xfId="6" applyNumberFormat="1" applyFont="1" applyFill="1" applyBorder="1"/>
    <xf numFmtId="4" fontId="40" fillId="0" borderId="0" xfId="6" applyNumberFormat="1" applyFont="1" applyFill="1" applyBorder="1"/>
    <xf numFmtId="0" fontId="41" fillId="3" borderId="0" xfId="6" applyFont="1" applyFill="1" applyBorder="1"/>
    <xf numFmtId="0" fontId="47" fillId="0" borderId="24" xfId="6" applyFont="1" applyFill="1" applyBorder="1"/>
    <xf numFmtId="0" fontId="47" fillId="0" borderId="0" xfId="6" applyFont="1" applyFill="1" applyBorder="1"/>
    <xf numFmtId="4" fontId="48" fillId="0" borderId="0" xfId="6" applyNumberFormat="1" applyFont="1" applyFill="1" applyBorder="1"/>
    <xf numFmtId="0" fontId="49" fillId="0" borderId="0" xfId="6" applyFont="1" applyFill="1" applyBorder="1"/>
    <xf numFmtId="1" fontId="50" fillId="0" borderId="0" xfId="6" applyNumberFormat="1" applyFont="1" applyFill="1" applyBorder="1"/>
    <xf numFmtId="0" fontId="50" fillId="0" borderId="0" xfId="6" applyFont="1" applyFill="1" applyBorder="1"/>
    <xf numFmtId="0" fontId="47" fillId="0" borderId="24" xfId="6" applyFont="1" applyFill="1" applyBorder="1" applyAlignment="1">
      <alignment horizontal="center"/>
    </xf>
    <xf numFmtId="0" fontId="47" fillId="0" borderId="7" xfId="6" applyFont="1" applyFill="1" applyBorder="1" applyAlignment="1">
      <alignment horizontal="center"/>
    </xf>
    <xf numFmtId="4" fontId="47" fillId="0" borderId="3" xfId="6" applyNumberFormat="1" applyFont="1" applyFill="1" applyBorder="1" applyAlignment="1">
      <alignment horizontal="center"/>
    </xf>
    <xf numFmtId="0" fontId="51" fillId="0" borderId="0" xfId="1" applyFont="1"/>
    <xf numFmtId="167" fontId="36" fillId="3" borderId="0" xfId="6" applyNumberFormat="1" applyFont="1" applyFill="1" applyBorder="1"/>
    <xf numFmtId="1" fontId="42" fillId="0" borderId="0" xfId="6" applyNumberFormat="1" applyFont="1" applyFill="1" applyBorder="1"/>
    <xf numFmtId="4" fontId="40" fillId="3" borderId="0" xfId="6" applyNumberFormat="1" applyFont="1" applyFill="1" applyBorder="1"/>
    <xf numFmtId="0" fontId="42" fillId="0" borderId="24" xfId="6" applyFont="1" applyFill="1" applyBorder="1" applyAlignment="1">
      <alignment horizontal="left"/>
    </xf>
    <xf numFmtId="0" fontId="53" fillId="0" borderId="24" xfId="6" applyFont="1" applyFill="1" applyBorder="1" applyAlignment="1">
      <alignment horizontal="center"/>
    </xf>
    <xf numFmtId="0" fontId="53" fillId="0" borderId="7" xfId="6" applyFont="1" applyFill="1" applyBorder="1" applyAlignment="1">
      <alignment horizontal="center"/>
    </xf>
    <xf numFmtId="0" fontId="54" fillId="0" borderId="24" xfId="6" applyFont="1" applyFill="1" applyBorder="1"/>
    <xf numFmtId="0" fontId="54" fillId="0" borderId="0" xfId="6" applyFont="1" applyFill="1" applyBorder="1"/>
    <xf numFmtId="0" fontId="55" fillId="0" borderId="0" xfId="6" applyFont="1" applyFill="1" applyBorder="1"/>
    <xf numFmtId="0" fontId="42" fillId="0" borderId="0" xfId="6" applyFont="1" applyFill="1" applyBorder="1" applyAlignment="1">
      <alignment horizontal="center"/>
    </xf>
    <xf numFmtId="1" fontId="41" fillId="3" borderId="0" xfId="6" applyNumberFormat="1" applyFont="1" applyFill="1" applyBorder="1"/>
    <xf numFmtId="0" fontId="42" fillId="0" borderId="0" xfId="6" applyFont="1" applyFill="1" applyBorder="1" applyAlignment="1">
      <alignment horizontal="right"/>
    </xf>
    <xf numFmtId="0" fontId="41" fillId="0" borderId="0" xfId="6" applyFont="1" applyFill="1" applyBorder="1" applyAlignment="1">
      <alignment horizontal="left"/>
    </xf>
    <xf numFmtId="168" fontId="42" fillId="0" borderId="24" xfId="6" applyNumberFormat="1" applyFont="1" applyFill="1" applyBorder="1"/>
    <xf numFmtId="49" fontId="42" fillId="0" borderId="0" xfId="6" applyNumberFormat="1" applyFont="1" applyFill="1" applyBorder="1"/>
    <xf numFmtId="0" fontId="36" fillId="0" borderId="24" xfId="6" applyFont="1" applyFill="1" applyBorder="1"/>
    <xf numFmtId="1" fontId="39" fillId="0" borderId="0" xfId="6" applyNumberFormat="1" applyFont="1" applyFill="1" applyBorder="1"/>
    <xf numFmtId="0" fontId="54" fillId="0" borderId="24" xfId="6" applyFont="1" applyFill="1" applyBorder="1" applyAlignment="1">
      <alignment horizontal="center"/>
    </xf>
    <xf numFmtId="0" fontId="54" fillId="0" borderId="7" xfId="6" applyFont="1" applyFill="1" applyBorder="1" applyAlignment="1">
      <alignment horizontal="center"/>
    </xf>
    <xf numFmtId="0" fontId="56" fillId="0" borderId="0" xfId="6" applyFont="1" applyFill="1" applyBorder="1"/>
    <xf numFmtId="0" fontId="42" fillId="0" borderId="24" xfId="6" applyNumberFormat="1" applyFont="1" applyFill="1" applyBorder="1"/>
    <xf numFmtId="4" fontId="40" fillId="0" borderId="0" xfId="6" applyNumberFormat="1" applyFont="1" applyFill="1" applyBorder="1" applyAlignment="1">
      <alignment horizontal="center"/>
    </xf>
    <xf numFmtId="0" fontId="9" fillId="3" borderId="0" xfId="1" applyFont="1" applyFill="1" applyBorder="1"/>
    <xf numFmtId="4" fontId="41" fillId="0" borderId="0" xfId="6" applyNumberFormat="1" applyFont="1" applyFill="1" applyBorder="1"/>
    <xf numFmtId="0" fontId="42" fillId="0" borderId="24" xfId="6" applyFont="1" applyFill="1" applyBorder="1" applyAlignment="1"/>
    <xf numFmtId="0" fontId="42" fillId="0" borderId="0" xfId="6" applyFont="1" applyFill="1" applyBorder="1" applyAlignment="1"/>
    <xf numFmtId="0" fontId="41" fillId="0" borderId="24" xfId="6" applyFont="1" applyFill="1" applyBorder="1" applyAlignment="1"/>
    <xf numFmtId="49" fontId="41" fillId="0" borderId="0" xfId="6" applyNumberFormat="1" applyFont="1" applyFill="1" applyBorder="1"/>
    <xf numFmtId="0" fontId="40" fillId="0" borderId="0" xfId="6" applyFont="1" applyFill="1" applyBorder="1" applyAlignment="1"/>
    <xf numFmtId="0" fontId="40" fillId="0" borderId="24" xfId="6" applyFont="1" applyFill="1" applyBorder="1" applyAlignment="1"/>
    <xf numFmtId="0" fontId="9" fillId="0" borderId="24" xfId="1" applyFont="1" applyBorder="1"/>
    <xf numFmtId="0" fontId="41" fillId="0" borderId="0" xfId="6" applyFont="1" applyFill="1" applyBorder="1" applyAlignment="1"/>
    <xf numFmtId="4" fontId="36" fillId="0" borderId="3" xfId="6" applyNumberFormat="1" applyFont="1" applyFill="1" applyBorder="1" applyAlignment="1">
      <alignment horizontal="center"/>
    </xf>
    <xf numFmtId="1" fontId="40" fillId="0" borderId="24" xfId="6" applyNumberFormat="1" applyFont="1" applyFill="1" applyBorder="1" applyAlignment="1">
      <alignment horizontal="center"/>
    </xf>
    <xf numFmtId="1" fontId="40" fillId="0" borderId="7" xfId="6" applyNumberFormat="1" applyFont="1" applyFill="1" applyBorder="1" applyAlignment="1">
      <alignment horizontal="center"/>
    </xf>
    <xf numFmtId="1" fontId="42" fillId="0" borderId="24" xfId="6" applyNumberFormat="1" applyFont="1" applyFill="1" applyBorder="1" applyAlignment="1">
      <alignment horizontal="center"/>
    </xf>
    <xf numFmtId="1" fontId="42" fillId="0" borderId="7" xfId="6" applyNumberFormat="1" applyFont="1" applyFill="1" applyBorder="1" applyAlignment="1">
      <alignment horizontal="center"/>
    </xf>
    <xf numFmtId="168" fontId="42" fillId="0" borderId="0" xfId="6" applyNumberFormat="1" applyFont="1" applyFill="1" applyBorder="1"/>
    <xf numFmtId="0" fontId="41" fillId="3" borderId="0" xfId="6" applyFont="1" applyFill="1" applyBorder="1" applyAlignment="1">
      <alignment horizontal="right"/>
    </xf>
    <xf numFmtId="0" fontId="57" fillId="0" borderId="24" xfId="6" applyFont="1" applyFill="1" applyBorder="1" applyAlignment="1">
      <alignment horizontal="center"/>
    </xf>
    <xf numFmtId="0" fontId="57" fillId="0" borderId="7" xfId="6" applyFont="1" applyFill="1" applyBorder="1" applyAlignment="1">
      <alignment horizontal="center"/>
    </xf>
    <xf numFmtId="0" fontId="29" fillId="0" borderId="0" xfId="6" applyFont="1" applyFill="1" applyBorder="1" applyAlignment="1"/>
    <xf numFmtId="0" fontId="12" fillId="0" borderId="1" xfId="6" applyFont="1" applyFill="1" applyBorder="1"/>
    <xf numFmtId="0" fontId="44" fillId="0" borderId="1" xfId="6" applyFont="1" applyFill="1" applyBorder="1"/>
    <xf numFmtId="1" fontId="44" fillId="0" borderId="1" xfId="6" applyNumberFormat="1" applyFont="1" applyFill="1" applyBorder="1"/>
    <xf numFmtId="1" fontId="12" fillId="0" borderId="21" xfId="6" applyNumberFormat="1" applyFont="1" applyFill="1" applyBorder="1" applyAlignment="1">
      <alignment horizontal="center"/>
    </xf>
    <xf numFmtId="1" fontId="12" fillId="0" borderId="6" xfId="6" applyNumberFormat="1" applyFont="1" applyFill="1" applyBorder="1" applyAlignment="1">
      <alignment horizontal="center"/>
    </xf>
    <xf numFmtId="0" fontId="28" fillId="0" borderId="0" xfId="6" applyFont="1"/>
    <xf numFmtId="0" fontId="28" fillId="0" borderId="0" xfId="6" applyFont="1" applyAlignment="1">
      <alignment horizontal="center"/>
    </xf>
    <xf numFmtId="4" fontId="13" fillId="0" borderId="0" xfId="6" applyNumberFormat="1" applyFont="1" applyFill="1" applyAlignment="1">
      <alignment horizontal="center" vertical="center"/>
    </xf>
    <xf numFmtId="4" fontId="13" fillId="0" borderId="0" xfId="6" applyNumberFormat="1" applyFont="1" applyFill="1" applyAlignment="1"/>
    <xf numFmtId="0" fontId="58" fillId="0" borderId="0" xfId="6" applyFont="1" applyFill="1"/>
    <xf numFmtId="0" fontId="58" fillId="0" borderId="0" xfId="6" applyFont="1"/>
    <xf numFmtId="49" fontId="58" fillId="0" borderId="0" xfId="6" applyNumberFormat="1" applyFont="1"/>
    <xf numFmtId="49" fontId="58" fillId="0" borderId="0" xfId="6" applyNumberFormat="1" applyFont="1" applyAlignment="1">
      <alignment horizontal="center"/>
    </xf>
    <xf numFmtId="4" fontId="23" fillId="0" borderId="0" xfId="6" applyNumberFormat="1" applyFont="1" applyFill="1" applyAlignment="1">
      <alignment horizontal="center" vertical="center"/>
    </xf>
    <xf numFmtId="4" fontId="23" fillId="0" borderId="0" xfId="6" applyNumberFormat="1" applyFont="1" applyFill="1" applyAlignment="1"/>
    <xf numFmtId="14" fontId="0" fillId="0" borderId="0" xfId="0" applyNumberFormat="1" applyFont="1"/>
    <xf numFmtId="1" fontId="11" fillId="0" borderId="6" xfId="1" applyNumberFormat="1" applyFont="1" applyFill="1" applyBorder="1" applyAlignment="1">
      <alignment horizontal="center" vertical="center"/>
    </xf>
    <xf numFmtId="0" fontId="35" fillId="0" borderId="0" xfId="6" applyFont="1" applyFill="1" applyBorder="1" applyAlignment="1">
      <alignment horizontal="center"/>
    </xf>
    <xf numFmtId="1" fontId="11" fillId="0" borderId="6" xfId="1" applyNumberFormat="1" applyFont="1" applyFill="1" applyBorder="1" applyAlignment="1">
      <alignment horizontal="left" wrapText="1"/>
    </xf>
    <xf numFmtId="1" fontId="13" fillId="0" borderId="6" xfId="1" applyNumberFormat="1" applyFont="1" applyFill="1" applyBorder="1" applyAlignment="1">
      <alignment horizontal="left" wrapText="1"/>
    </xf>
    <xf numFmtId="49" fontId="11" fillId="0" borderId="0" xfId="1" applyNumberFormat="1" applyFont="1" applyFill="1" applyBorder="1"/>
    <xf numFmtId="4" fontId="6" fillId="0" borderId="0" xfId="0" applyNumberFormat="1" applyFont="1"/>
    <xf numFmtId="4" fontId="31" fillId="0" borderId="0" xfId="1" applyNumberFormat="1" applyFont="1"/>
    <xf numFmtId="4" fontId="30" fillId="0" borderId="0" xfId="1" applyNumberFormat="1" applyFont="1"/>
    <xf numFmtId="0" fontId="41" fillId="0" borderId="3" xfId="6" applyFont="1" applyFill="1" applyBorder="1" applyAlignment="1">
      <alignment horizontal="center"/>
    </xf>
    <xf numFmtId="0" fontId="39" fillId="0" borderId="3" xfId="6" applyFont="1" applyFill="1" applyBorder="1" applyAlignment="1">
      <alignment horizontal="center"/>
    </xf>
    <xf numFmtId="0" fontId="35" fillId="0" borderId="3" xfId="6" applyFont="1" applyFill="1" applyBorder="1" applyAlignment="1">
      <alignment horizontal="center"/>
    </xf>
    <xf numFmtId="0" fontId="36" fillId="0" borderId="3" xfId="6" applyFont="1" applyFill="1" applyBorder="1" applyAlignment="1">
      <alignment horizontal="center"/>
    </xf>
    <xf numFmtId="0" fontId="53" fillId="0" borderId="3" xfId="6" applyFont="1" applyFill="1" applyBorder="1" applyAlignment="1">
      <alignment horizontal="center"/>
    </xf>
    <xf numFmtId="1" fontId="41" fillId="0" borderId="3" xfId="6" applyNumberFormat="1" applyFont="1" applyFill="1" applyBorder="1" applyAlignment="1">
      <alignment horizontal="center"/>
    </xf>
    <xf numFmtId="0" fontId="57" fillId="0" borderId="3" xfId="6" applyFont="1" applyFill="1" applyBorder="1" applyAlignment="1">
      <alignment horizontal="center"/>
    </xf>
    <xf numFmtId="0" fontId="61" fillId="0" borderId="3" xfId="6" applyFont="1" applyFill="1" applyBorder="1" applyAlignment="1">
      <alignment horizontal="center"/>
    </xf>
    <xf numFmtId="0" fontId="65" fillId="0" borderId="3" xfId="6" applyFont="1" applyFill="1" applyBorder="1" applyAlignment="1">
      <alignment horizontal="center" vertical="center"/>
    </xf>
    <xf numFmtId="49" fontId="36" fillId="0" borderId="3" xfId="6" applyNumberFormat="1" applyFont="1" applyFill="1" applyBorder="1" applyAlignment="1">
      <alignment horizontal="center"/>
    </xf>
    <xf numFmtId="0" fontId="48" fillId="0" borderId="3" xfId="6" applyFont="1" applyFill="1" applyBorder="1" applyAlignment="1">
      <alignment horizontal="center"/>
    </xf>
    <xf numFmtId="0" fontId="56" fillId="0" borderId="3" xfId="6" applyFont="1" applyFill="1" applyBorder="1" applyAlignment="1">
      <alignment horizontal="center"/>
    </xf>
    <xf numFmtId="1" fontId="36" fillId="0" borderId="3" xfId="6" applyNumberFormat="1" applyFont="1" applyFill="1" applyBorder="1" applyAlignment="1">
      <alignment horizontal="center"/>
    </xf>
    <xf numFmtId="1" fontId="53" fillId="0" borderId="3" xfId="6" applyNumberFormat="1" applyFont="1" applyFill="1" applyBorder="1" applyAlignment="1">
      <alignment horizontal="center"/>
    </xf>
    <xf numFmtId="1" fontId="28" fillId="0" borderId="3" xfId="6" applyNumberFormat="1" applyFont="1" applyFill="1" applyBorder="1" applyAlignment="1">
      <alignment horizontal="center"/>
    </xf>
    <xf numFmtId="49" fontId="66" fillId="0" borderId="0" xfId="6" applyNumberFormat="1" applyFont="1" applyAlignment="1">
      <alignment horizontal="center"/>
    </xf>
    <xf numFmtId="167" fontId="42" fillId="0" borderId="0" xfId="6" applyNumberFormat="1" applyFont="1" applyFill="1" applyBorder="1"/>
    <xf numFmtId="4" fontId="41" fillId="3" borderId="0" xfId="6" applyNumberFormat="1" applyFont="1" applyFill="1" applyBorder="1"/>
    <xf numFmtId="2" fontId="41" fillId="3" borderId="0" xfId="6" applyNumberFormat="1" applyFont="1" applyFill="1" applyBorder="1"/>
    <xf numFmtId="169" fontId="36" fillId="3" borderId="0" xfId="6" applyNumberFormat="1" applyFont="1" applyFill="1" applyBorder="1"/>
    <xf numFmtId="170" fontId="36" fillId="3" borderId="0" xfId="6" applyNumberFormat="1" applyFont="1" applyFill="1" applyBorder="1"/>
    <xf numFmtId="171" fontId="36" fillId="3" borderId="0" xfId="6" applyNumberFormat="1" applyFont="1" applyFill="1" applyBorder="1"/>
    <xf numFmtId="49" fontId="9" fillId="0" borderId="0" xfId="1" applyNumberFormat="1" applyFont="1"/>
    <xf numFmtId="3" fontId="36" fillId="3" borderId="0" xfId="6" applyNumberFormat="1" applyFont="1" applyFill="1" applyBorder="1" applyAlignment="1">
      <alignment horizontal="left"/>
    </xf>
    <xf numFmtId="169" fontId="6" fillId="0" borderId="0" xfId="1" applyNumberFormat="1" applyFont="1"/>
    <xf numFmtId="49" fontId="6" fillId="0" borderId="0" xfId="1" applyNumberFormat="1" applyFont="1"/>
    <xf numFmtId="164" fontId="36" fillId="0" borderId="0" xfId="6" applyNumberFormat="1" applyFont="1" applyFill="1" applyBorder="1"/>
    <xf numFmtId="164" fontId="40" fillId="0" borderId="0" xfId="6" applyNumberFormat="1" applyFont="1" applyFill="1" applyBorder="1"/>
    <xf numFmtId="4" fontId="24" fillId="0" borderId="0" xfId="1" applyNumberFormat="1" applyFont="1"/>
    <xf numFmtId="0" fontId="6" fillId="0" borderId="0" xfId="1" applyFont="1" applyFill="1" applyBorder="1"/>
    <xf numFmtId="2" fontId="36" fillId="0" borderId="0" xfId="6" applyNumberFormat="1" applyFont="1" applyFill="1" applyBorder="1"/>
    <xf numFmtId="171" fontId="36" fillId="0" borderId="0" xfId="6" applyNumberFormat="1" applyFont="1" applyFill="1" applyBorder="1"/>
    <xf numFmtId="172" fontId="36" fillId="3" borderId="0" xfId="6" applyNumberFormat="1" applyFont="1" applyFill="1" applyBorder="1"/>
    <xf numFmtId="4" fontId="11" fillId="0" borderId="0" xfId="1" applyNumberFormat="1" applyFont="1" applyBorder="1"/>
    <xf numFmtId="3" fontId="7" fillId="0" borderId="0" xfId="1" applyNumberFormat="1" applyFont="1"/>
    <xf numFmtId="0" fontId="7" fillId="0" borderId="0" xfId="1" applyFont="1" applyAlignment="1">
      <alignment horizontal="right"/>
    </xf>
    <xf numFmtId="166" fontId="41" fillId="3" borderId="0" xfId="6" applyNumberFormat="1" applyFont="1" applyFill="1" applyBorder="1"/>
    <xf numFmtId="174" fontId="41" fillId="3" borderId="0" xfId="6" applyNumberFormat="1" applyFont="1" applyFill="1" applyBorder="1"/>
    <xf numFmtId="173" fontId="41" fillId="0" borderId="0" xfId="6" applyNumberFormat="1" applyFont="1" applyFill="1" applyBorder="1"/>
    <xf numFmtId="1" fontId="12" fillId="0" borderId="24" xfId="6" applyNumberFormat="1" applyFont="1" applyFill="1" applyBorder="1" applyAlignment="1">
      <alignment horizontal="center"/>
    </xf>
    <xf numFmtId="1" fontId="12" fillId="0" borderId="7" xfId="6" applyNumberFormat="1" applyFont="1" applyFill="1" applyBorder="1" applyAlignment="1">
      <alignment horizontal="center"/>
    </xf>
    <xf numFmtId="0" fontId="12" fillId="0" borderId="0" xfId="6" applyFont="1" applyFill="1" applyBorder="1"/>
    <xf numFmtId="1" fontId="28" fillId="0" borderId="9" xfId="6" applyNumberFormat="1" applyFont="1" applyFill="1" applyBorder="1" applyAlignment="1">
      <alignment horizontal="center"/>
    </xf>
    <xf numFmtId="1" fontId="13" fillId="0" borderId="9" xfId="6" applyNumberFormat="1" applyFont="1" applyFill="1" applyBorder="1" applyAlignment="1">
      <alignment horizontal="center"/>
    </xf>
    <xf numFmtId="4" fontId="35" fillId="0" borderId="0" xfId="1" applyNumberFormat="1" applyFont="1"/>
    <xf numFmtId="4" fontId="45" fillId="0" borderId="0" xfId="1" applyNumberFormat="1" applyFont="1"/>
    <xf numFmtId="4" fontId="46" fillId="0" borderId="0" xfId="1" applyNumberFormat="1" applyFont="1"/>
    <xf numFmtId="0" fontId="35" fillId="0" borderId="0" xfId="6" applyFont="1" applyFill="1" applyBorder="1" applyAlignment="1">
      <alignment horizontal="center"/>
    </xf>
    <xf numFmtId="4" fontId="69" fillId="0" borderId="0" xfId="1" applyNumberFormat="1" applyFont="1"/>
    <xf numFmtId="4" fontId="70" fillId="0" borderId="0" xfId="1" applyNumberFormat="1" applyFont="1"/>
    <xf numFmtId="171" fontId="41" fillId="3" borderId="0" xfId="6" applyNumberFormat="1" applyFont="1" applyFill="1" applyBorder="1"/>
    <xf numFmtId="0" fontId="69" fillId="0" borderId="0" xfId="1" applyFont="1"/>
    <xf numFmtId="0" fontId="70" fillId="0" borderId="0" xfId="1" applyFont="1"/>
    <xf numFmtId="4" fontId="71" fillId="0" borderId="0" xfId="1" applyNumberFormat="1" applyFont="1"/>
    <xf numFmtId="49" fontId="36" fillId="0" borderId="6" xfId="6" applyNumberFormat="1" applyFont="1" applyFill="1" applyBorder="1" applyAlignment="1">
      <alignment horizontal="center"/>
    </xf>
    <xf numFmtId="4" fontId="7" fillId="0" borderId="6" xfId="6" applyNumberFormat="1" applyFont="1" applyFill="1" applyBorder="1" applyAlignment="1">
      <alignment horizontal="center"/>
    </xf>
    <xf numFmtId="0" fontId="43" fillId="0" borderId="8" xfId="6" applyFont="1" applyFill="1" applyBorder="1" applyAlignment="1">
      <alignment vertical="center"/>
    </xf>
    <xf numFmtId="0" fontId="43" fillId="0" borderId="10" xfId="6" applyFont="1" applyFill="1" applyBorder="1" applyAlignment="1">
      <alignment vertical="center"/>
    </xf>
    <xf numFmtId="0" fontId="43" fillId="0" borderId="3" xfId="6" applyFont="1" applyFill="1" applyBorder="1" applyAlignment="1">
      <alignment horizontal="center" vertical="center"/>
    </xf>
    <xf numFmtId="0" fontId="43" fillId="0" borderId="8" xfId="6" applyFont="1" applyFill="1" applyBorder="1" applyAlignment="1">
      <alignment horizontal="center" vertical="center"/>
    </xf>
    <xf numFmtId="2" fontId="13" fillId="0" borderId="3" xfId="2" applyNumberFormat="1" applyFont="1" applyFill="1" applyBorder="1" applyAlignment="1">
      <alignment horizontal="left" vertical="center" wrapText="1"/>
    </xf>
    <xf numFmtId="0" fontId="40" fillId="0" borderId="19" xfId="6" applyFont="1" applyFill="1" applyBorder="1"/>
    <xf numFmtId="0" fontId="40" fillId="0" borderId="2" xfId="6" applyFont="1" applyFill="1" applyBorder="1"/>
    <xf numFmtId="0" fontId="72" fillId="0" borderId="2" xfId="6" applyFont="1" applyFill="1" applyBorder="1"/>
    <xf numFmtId="0" fontId="40" fillId="0" borderId="19" xfId="6" applyFont="1" applyFill="1" applyBorder="1" applyAlignment="1">
      <alignment horizontal="center"/>
    </xf>
    <xf numFmtId="0" fontId="40" fillId="0" borderId="5" xfId="6" applyFont="1" applyFill="1" applyBorder="1" applyAlignment="1">
      <alignment horizontal="center"/>
    </xf>
    <xf numFmtId="0" fontId="12" fillId="0" borderId="0" xfId="1" applyFont="1"/>
    <xf numFmtId="4" fontId="12" fillId="0" borderId="0" xfId="1" applyNumberFormat="1" applyFont="1"/>
    <xf numFmtId="0" fontId="39" fillId="0" borderId="24" xfId="1" applyFont="1" applyBorder="1"/>
    <xf numFmtId="49" fontId="71" fillId="0" borderId="0" xfId="6" applyNumberFormat="1" applyFont="1"/>
    <xf numFmtId="49" fontId="36" fillId="0" borderId="0" xfId="6" applyNumberFormat="1" applyFont="1"/>
    <xf numFmtId="0" fontId="36" fillId="0" borderId="0" xfId="6" applyFont="1"/>
    <xf numFmtId="0" fontId="36" fillId="0" borderId="0" xfId="6" applyFont="1" applyAlignment="1">
      <alignment horizontal="center"/>
    </xf>
    <xf numFmtId="4" fontId="36" fillId="0" borderId="0" xfId="6" applyNumberFormat="1" applyFont="1" applyFill="1"/>
    <xf numFmtId="0" fontId="35" fillId="0" borderId="0" xfId="1" applyFont="1" applyAlignment="1">
      <alignment horizontal="center"/>
    </xf>
    <xf numFmtId="4" fontId="35" fillId="0" borderId="0" xfId="1" applyNumberFormat="1" applyFont="1" applyFill="1"/>
    <xf numFmtId="0" fontId="36" fillId="0" borderId="0" xfId="1" applyFont="1" applyFill="1" applyAlignment="1">
      <alignment horizontal="center"/>
    </xf>
    <xf numFmtId="0" fontId="67" fillId="0" borderId="0" xfId="1" applyFont="1"/>
    <xf numFmtId="0" fontId="67" fillId="0" borderId="0" xfId="1" applyFont="1" applyAlignment="1">
      <alignment horizontal="center"/>
    </xf>
    <xf numFmtId="4" fontId="67" fillId="0" borderId="0" xfId="1" applyNumberFormat="1" applyFont="1" applyFill="1"/>
    <xf numFmtId="4" fontId="67" fillId="0" borderId="0" xfId="1" applyNumberFormat="1" applyFont="1"/>
    <xf numFmtId="0" fontId="67" fillId="0" borderId="0" xfId="1" applyFont="1" applyFill="1" applyAlignment="1">
      <alignment horizontal="center"/>
    </xf>
    <xf numFmtId="0" fontId="68" fillId="0" borderId="0" xfId="1" applyFont="1"/>
    <xf numFmtId="0" fontId="68" fillId="0" borderId="0" xfId="1" applyFont="1" applyAlignment="1">
      <alignment horizontal="center"/>
    </xf>
    <xf numFmtId="4" fontId="68" fillId="0" borderId="0" xfId="1" applyNumberFormat="1" applyFont="1" applyFill="1"/>
    <xf numFmtId="4" fontId="68" fillId="0" borderId="0" xfId="1" applyNumberFormat="1" applyFont="1"/>
    <xf numFmtId="0" fontId="68" fillId="0" borderId="0" xfId="1" applyFont="1" applyFill="1" applyAlignment="1">
      <alignment horizontal="center"/>
    </xf>
    <xf numFmtId="2" fontId="40" fillId="0" borderId="0" xfId="6" applyNumberFormat="1" applyFont="1" applyFill="1" applyBorder="1"/>
    <xf numFmtId="4" fontId="60" fillId="0" borderId="0" xfId="1" applyNumberFormat="1" applyFont="1" applyBorder="1"/>
    <xf numFmtId="4" fontId="31" fillId="0" borderId="0" xfId="1" applyNumberFormat="1" applyFont="1" applyBorder="1"/>
    <xf numFmtId="4" fontId="30" fillId="0" borderId="0" xfId="1" applyNumberFormat="1" applyFont="1" applyBorder="1"/>
    <xf numFmtId="4" fontId="62" fillId="0" borderId="0" xfId="1" applyNumberFormat="1" applyFont="1" applyBorder="1" applyAlignment="1">
      <alignment horizontal="center" vertical="center"/>
    </xf>
    <xf numFmtId="4" fontId="63" fillId="0" borderId="0" xfId="1" applyNumberFormat="1" applyFont="1" applyBorder="1" applyAlignment="1">
      <alignment horizontal="center" vertical="center"/>
    </xf>
    <xf numFmtId="4" fontId="38" fillId="0" borderId="0" xfId="1" applyNumberFormat="1" applyFont="1" applyBorder="1"/>
    <xf numFmtId="4" fontId="64" fillId="0" borderId="0" xfId="1" applyNumberFormat="1" applyFont="1" applyBorder="1"/>
    <xf numFmtId="4" fontId="12" fillId="0" borderId="0" xfId="1" applyNumberFormat="1" applyFont="1" applyBorder="1"/>
    <xf numFmtId="4" fontId="24" fillId="0" borderId="0" xfId="1" applyNumberFormat="1" applyFont="1" applyBorder="1"/>
    <xf numFmtId="4" fontId="69" fillId="0" borderId="0" xfId="1" applyNumberFormat="1" applyFont="1" applyBorder="1"/>
    <xf numFmtId="4" fontId="70" fillId="0" borderId="0" xfId="1" applyNumberFormat="1" applyFont="1" applyBorder="1"/>
    <xf numFmtId="4" fontId="23" fillId="0" borderId="0" xfId="1" applyNumberFormat="1" applyFont="1" applyBorder="1"/>
    <xf numFmtId="4" fontId="71" fillId="0" borderId="0" xfId="1" applyNumberFormat="1" applyFont="1" applyBorder="1"/>
    <xf numFmtId="0" fontId="71" fillId="0" borderId="0" xfId="1" applyFont="1" applyBorder="1"/>
    <xf numFmtId="0" fontId="35" fillId="0" borderId="0" xfId="1" applyFont="1" applyBorder="1"/>
    <xf numFmtId="0" fontId="23" fillId="0" borderId="0" xfId="1" applyFont="1" applyBorder="1"/>
    <xf numFmtId="4" fontId="7" fillId="0" borderId="0" xfId="6" applyNumberFormat="1" applyFont="1" applyFill="1" applyBorder="1" applyAlignment="1"/>
    <xf numFmtId="0" fontId="52" fillId="0" borderId="0" xfId="6" applyFont="1" applyFill="1" applyBorder="1"/>
    <xf numFmtId="0" fontId="42" fillId="0" borderId="0" xfId="6" applyFont="1" applyFill="1" applyBorder="1" applyAlignment="1">
      <alignment horizontal="left"/>
    </xf>
    <xf numFmtId="0" fontId="57" fillId="0" borderId="0" xfId="6" applyFont="1" applyFill="1" applyBorder="1"/>
    <xf numFmtId="0" fontId="38" fillId="0" borderId="3" xfId="6" applyFont="1" applyFill="1" applyBorder="1"/>
    <xf numFmtId="0" fontId="7" fillId="0" borderId="7" xfId="6" applyFont="1" applyFill="1" applyBorder="1"/>
    <xf numFmtId="0" fontId="35" fillId="0" borderId="7" xfId="1" applyFont="1" applyBorder="1"/>
    <xf numFmtId="0" fontId="39" fillId="0" borderId="7" xfId="6" applyFont="1" applyFill="1" applyBorder="1"/>
    <xf numFmtId="0" fontId="42" fillId="0" borderId="5" xfId="6" applyFont="1" applyFill="1" applyBorder="1"/>
    <xf numFmtId="0" fontId="41" fillId="0" borderId="7" xfId="6" applyFont="1" applyFill="1" applyBorder="1"/>
    <xf numFmtId="0" fontId="42" fillId="0" borderId="7" xfId="6" applyFont="1" applyFill="1" applyBorder="1"/>
    <xf numFmtId="0" fontId="42" fillId="0" borderId="6" xfId="6" applyFont="1" applyFill="1" applyBorder="1"/>
    <xf numFmtId="0" fontId="43" fillId="0" borderId="3" xfId="6" applyFont="1" applyFill="1" applyBorder="1" applyAlignment="1">
      <alignment vertical="center"/>
    </xf>
    <xf numFmtId="49" fontId="40" fillId="0" borderId="7" xfId="6" applyNumberFormat="1" applyFont="1" applyFill="1" applyBorder="1"/>
    <xf numFmtId="0" fontId="40" fillId="0" borderId="7" xfId="6" applyFont="1" applyFill="1" applyBorder="1"/>
    <xf numFmtId="0" fontId="36" fillId="0" borderId="7" xfId="6" applyFont="1" applyFill="1" applyBorder="1"/>
    <xf numFmtId="0" fontId="43" fillId="0" borderId="5" xfId="6" applyFont="1" applyFill="1" applyBorder="1" applyAlignment="1">
      <alignment vertical="center"/>
    </xf>
    <xf numFmtId="0" fontId="40" fillId="0" borderId="5" xfId="6" applyFont="1" applyFill="1" applyBorder="1"/>
    <xf numFmtId="0" fontId="44" fillId="0" borderId="7" xfId="6" applyFont="1" applyFill="1" applyBorder="1"/>
    <xf numFmtId="0" fontId="35" fillId="0" borderId="7" xfId="6" applyFont="1" applyFill="1" applyBorder="1"/>
    <xf numFmtId="0" fontId="47" fillId="0" borderId="7" xfId="6" applyFont="1" applyFill="1" applyBorder="1"/>
    <xf numFmtId="0" fontId="52" fillId="0" borderId="7" xfId="6" applyFont="1" applyFill="1" applyBorder="1"/>
    <xf numFmtId="0" fontId="53" fillId="0" borderId="7" xfId="6" applyFont="1" applyFill="1" applyBorder="1"/>
    <xf numFmtId="0" fontId="42" fillId="0" borderId="7" xfId="6" applyFont="1" applyFill="1" applyBorder="1" applyAlignment="1">
      <alignment horizontal="left"/>
    </xf>
    <xf numFmtId="0" fontId="41" fillId="0" borderId="7" xfId="6" applyFont="1" applyFill="1" applyBorder="1" applyAlignment="1">
      <alignment horizontal="left"/>
    </xf>
    <xf numFmtId="0" fontId="42" fillId="0" borderId="7" xfId="6" applyFont="1" applyFill="1" applyBorder="1" applyAlignment="1"/>
    <xf numFmtId="0" fontId="41" fillId="0" borderId="7" xfId="6" applyFont="1" applyFill="1" applyBorder="1" applyAlignment="1"/>
    <xf numFmtId="4" fontId="40" fillId="0" borderId="7" xfId="6" applyNumberFormat="1" applyFont="1" applyFill="1" applyBorder="1"/>
    <xf numFmtId="2" fontId="40" fillId="0" borderId="7" xfId="6" applyNumberFormat="1" applyFont="1" applyFill="1" applyBorder="1"/>
    <xf numFmtId="0" fontId="57" fillId="0" borderId="7" xfId="6" applyFont="1" applyFill="1" applyBorder="1"/>
    <xf numFmtId="0" fontId="29" fillId="0" borderId="7" xfId="6" applyFont="1" applyFill="1" applyBorder="1" applyAlignment="1"/>
    <xf numFmtId="0" fontId="12" fillId="0" borderId="7" xfId="6" applyFont="1" applyFill="1" applyBorder="1"/>
    <xf numFmtId="0" fontId="12" fillId="0" borderId="6" xfId="6" applyFont="1" applyFill="1" applyBorder="1"/>
    <xf numFmtId="49" fontId="40" fillId="0" borderId="24" xfId="6" applyNumberFormat="1" applyFont="1" applyFill="1" applyBorder="1"/>
    <xf numFmtId="49" fontId="38" fillId="0" borderId="3" xfId="6" applyNumberFormat="1" applyFont="1" applyFill="1" applyBorder="1"/>
    <xf numFmtId="49" fontId="7" fillId="0" borderId="7" xfId="6" applyNumberFormat="1" applyFont="1" applyFill="1" applyBorder="1"/>
    <xf numFmtId="49" fontId="39" fillId="0" borderId="7" xfId="6" applyNumberFormat="1" applyFont="1" applyFill="1" applyBorder="1"/>
    <xf numFmtId="49" fontId="42" fillId="0" borderId="5" xfId="6" applyNumberFormat="1" applyFont="1" applyFill="1" applyBorder="1"/>
    <xf numFmtId="49" fontId="41" fillId="0" borderId="7" xfId="6" applyNumberFormat="1" applyFont="1" applyFill="1" applyBorder="1"/>
    <xf numFmtId="49" fontId="42" fillId="0" borderId="7" xfId="6" applyNumberFormat="1" applyFont="1" applyFill="1" applyBorder="1"/>
    <xf numFmtId="49" fontId="42" fillId="0" borderId="6" xfId="6" applyNumberFormat="1" applyFont="1" applyFill="1" applyBorder="1"/>
    <xf numFmtId="49" fontId="43" fillId="0" borderId="3" xfId="6" applyNumberFormat="1" applyFont="1" applyFill="1" applyBorder="1" applyAlignment="1">
      <alignment vertical="center"/>
    </xf>
    <xf numFmtId="49" fontId="39" fillId="0" borderId="24" xfId="6" applyNumberFormat="1" applyFont="1" applyFill="1" applyBorder="1"/>
    <xf numFmtId="49" fontId="36" fillId="0" borderId="24" xfId="6" applyNumberFormat="1" applyFont="1" applyFill="1" applyBorder="1"/>
    <xf numFmtId="49" fontId="43" fillId="0" borderId="5" xfId="6" applyNumberFormat="1" applyFont="1" applyFill="1" applyBorder="1" applyAlignment="1">
      <alignment vertical="center"/>
    </xf>
    <xf numFmtId="49" fontId="40" fillId="0" borderId="19" xfId="6" applyNumberFormat="1" applyFont="1" applyFill="1" applyBorder="1"/>
    <xf numFmtId="49" fontId="44" fillId="0" borderId="24" xfId="6" applyNumberFormat="1" applyFont="1" applyFill="1" applyBorder="1"/>
    <xf numFmtId="49" fontId="7" fillId="0" borderId="24" xfId="6" applyNumberFormat="1" applyFont="1" applyFill="1" applyBorder="1"/>
    <xf numFmtId="49" fontId="35" fillId="0" borderId="24" xfId="6" applyNumberFormat="1" applyFont="1" applyFill="1" applyBorder="1"/>
    <xf numFmtId="49" fontId="47" fillId="0" borderId="24" xfId="6" applyNumberFormat="1" applyFont="1" applyFill="1" applyBorder="1"/>
    <xf numFmtId="49" fontId="41" fillId="0" borderId="24" xfId="6" applyNumberFormat="1" applyFont="1" applyFill="1" applyBorder="1"/>
    <xf numFmtId="49" fontId="42" fillId="0" borderId="24" xfId="6" applyNumberFormat="1" applyFont="1" applyFill="1" applyBorder="1"/>
    <xf numFmtId="49" fontId="53" fillId="0" borderId="24" xfId="6" applyNumberFormat="1" applyFont="1" applyFill="1" applyBorder="1"/>
    <xf numFmtId="49" fontId="42" fillId="0" borderId="24" xfId="6" applyNumberFormat="1" applyFont="1" applyFill="1" applyBorder="1" applyAlignment="1">
      <alignment horizontal="left"/>
    </xf>
    <xf numFmtId="49" fontId="41" fillId="0" borderId="24" xfId="6" applyNumberFormat="1" applyFont="1" applyFill="1" applyBorder="1" applyAlignment="1">
      <alignment horizontal="left"/>
    </xf>
    <xf numFmtId="49" fontId="42" fillId="0" borderId="24" xfId="6" applyNumberFormat="1" applyFont="1" applyFill="1" applyBorder="1" applyAlignment="1"/>
    <xf numFmtId="49" fontId="41" fillId="0" borderId="24" xfId="6" applyNumberFormat="1" applyFont="1" applyFill="1" applyBorder="1" applyAlignment="1"/>
    <xf numFmtId="49" fontId="57" fillId="0" borderId="24" xfId="6" applyNumberFormat="1" applyFont="1" applyFill="1" applyBorder="1"/>
    <xf numFmtId="49" fontId="29" fillId="0" borderId="24" xfId="6" applyNumberFormat="1" applyFont="1" applyFill="1" applyBorder="1" applyAlignment="1"/>
    <xf numFmtId="49" fontId="29" fillId="0" borderId="7" xfId="6" applyNumberFormat="1" applyFont="1" applyFill="1" applyBorder="1" applyAlignment="1"/>
    <xf numFmtId="49" fontId="12" fillId="0" borderId="7" xfId="6" applyNumberFormat="1" applyFont="1" applyFill="1" applyBorder="1"/>
    <xf numFmtId="49" fontId="12" fillId="0" borderId="21" xfId="6" applyNumberFormat="1" applyFont="1" applyFill="1" applyBorder="1"/>
    <xf numFmtId="49" fontId="7" fillId="0" borderId="7" xfId="1" applyNumberFormat="1" applyFont="1" applyBorder="1"/>
    <xf numFmtId="4" fontId="39" fillId="0" borderId="0" xfId="1" applyNumberFormat="1" applyFont="1" applyBorder="1"/>
    <xf numFmtId="0" fontId="39" fillId="0" borderId="0" xfId="1" applyFont="1" applyBorder="1"/>
    <xf numFmtId="4" fontId="44" fillId="0" borderId="0" xfId="6" applyNumberFormat="1" applyFont="1" applyFill="1" applyBorder="1"/>
    <xf numFmtId="167" fontId="41" fillId="0" borderId="0" xfId="6" applyNumberFormat="1" applyFont="1" applyFill="1" applyBorder="1"/>
    <xf numFmtId="49" fontId="68" fillId="0" borderId="0" xfId="6" applyNumberFormat="1" applyFont="1" applyAlignment="1">
      <alignment horizontal="center"/>
    </xf>
    <xf numFmtId="4" fontId="68" fillId="0" borderId="0" xfId="6" applyNumberFormat="1" applyFont="1" applyFill="1" applyAlignment="1">
      <alignment horizontal="center" vertical="center"/>
    </xf>
    <xf numFmtId="0" fontId="30" fillId="0" borderId="0" xfId="1" applyFont="1"/>
    <xf numFmtId="49" fontId="31" fillId="0" borderId="0" xfId="6" applyNumberFormat="1" applyFont="1" applyAlignment="1">
      <alignment horizontal="center"/>
    </xf>
    <xf numFmtId="4" fontId="31" fillId="0" borderId="0" xfId="6" applyNumberFormat="1" applyFont="1" applyFill="1" applyAlignment="1">
      <alignment horizontal="center" vertical="center"/>
    </xf>
    <xf numFmtId="0" fontId="0" fillId="0" borderId="3" xfId="0" applyFill="1" applyBorder="1" applyAlignment="1">
      <alignment horizontal="center" wrapText="1"/>
    </xf>
    <xf numFmtId="0" fontId="6" fillId="0" borderId="0" xfId="0" applyFont="1" applyFill="1" applyAlignment="1">
      <alignment horizontal="left" wrapText="1"/>
    </xf>
    <xf numFmtId="0" fontId="0" fillId="0" borderId="3" xfId="0" applyFill="1" applyBorder="1" applyAlignment="1">
      <alignment horizontal="center"/>
    </xf>
    <xf numFmtId="0" fontId="0" fillId="0" borderId="2" xfId="0" applyFill="1" applyBorder="1" applyAlignment="1">
      <alignment horizontal="center"/>
    </xf>
    <xf numFmtId="0" fontId="9" fillId="0" borderId="1" xfId="0" applyFont="1" applyFill="1" applyBorder="1" applyAlignment="1">
      <alignment horizontal="left"/>
    </xf>
    <xf numFmtId="0" fontId="0" fillId="0" borderId="0" xfId="0" applyFill="1" applyBorder="1" applyAlignment="1">
      <alignment horizontal="right" vertical="center"/>
    </xf>
    <xf numFmtId="0" fontId="5" fillId="0" borderId="0" xfId="0" applyFont="1" applyFill="1" applyBorder="1" applyAlignment="1">
      <alignment horizontal="center" vertical="top" wrapText="1"/>
    </xf>
    <xf numFmtId="0" fontId="0" fillId="0" borderId="0" xfId="0" applyFill="1" applyAlignment="1">
      <alignment horizontal="center"/>
    </xf>
    <xf numFmtId="0" fontId="5" fillId="0" borderId="0" xfId="0" applyFont="1" applyFill="1" applyBorder="1" applyAlignment="1">
      <alignment horizontal="center"/>
    </xf>
    <xf numFmtId="0" fontId="73" fillId="0" borderId="0" xfId="1" applyFont="1" applyAlignment="1">
      <alignment horizontal="right"/>
    </xf>
    <xf numFmtId="0" fontId="24" fillId="0" borderId="0" xfId="1" applyFont="1" applyAlignment="1">
      <alignment horizontal="center"/>
    </xf>
    <xf numFmtId="175" fontId="36" fillId="3" borderId="0" xfId="6" applyNumberFormat="1" applyFont="1" applyFill="1" applyBorder="1"/>
    <xf numFmtId="4" fontId="36" fillId="3" borderId="0" xfId="6" applyNumberFormat="1" applyFont="1" applyFill="1" applyBorder="1" applyAlignment="1">
      <alignment horizontal="left"/>
    </xf>
    <xf numFmtId="49" fontId="13" fillId="5" borderId="3" xfId="2" applyNumberFormat="1" applyFont="1" applyFill="1" applyBorder="1" applyAlignment="1">
      <alignment horizontal="center" vertical="center" wrapText="1"/>
    </xf>
    <xf numFmtId="49" fontId="13" fillId="5" borderId="5" xfId="2" applyNumberFormat="1" applyFont="1" applyFill="1" applyBorder="1" applyAlignment="1">
      <alignment horizontal="center" vertical="center" wrapText="1"/>
    </xf>
    <xf numFmtId="1" fontId="11" fillId="0" borderId="6" xfId="1" applyNumberFormat="1" applyFont="1" applyFill="1" applyBorder="1" applyAlignment="1">
      <alignment horizontal="center" vertical="center"/>
    </xf>
    <xf numFmtId="49" fontId="0" fillId="0" borderId="0" xfId="0" applyNumberFormat="1" applyFont="1" applyFill="1" applyBorder="1" applyAlignment="1">
      <alignment horizontal="center" vertical="center"/>
    </xf>
    <xf numFmtId="4" fontId="0" fillId="0" borderId="0" xfId="0" applyNumberFormat="1" applyFont="1"/>
    <xf numFmtId="1" fontId="42" fillId="0" borderId="3" xfId="6" applyNumberFormat="1" applyFont="1" applyFill="1" applyBorder="1" applyAlignment="1">
      <alignment horizontal="center"/>
    </xf>
    <xf numFmtId="1" fontId="24" fillId="0" borderId="0" xfId="1" applyNumberFormat="1" applyFont="1"/>
    <xf numFmtId="0" fontId="24" fillId="0" borderId="0" xfId="1" applyFont="1" applyBorder="1"/>
    <xf numFmtId="169" fontId="41" fillId="3" borderId="0" xfId="6" applyNumberFormat="1" applyFont="1" applyFill="1" applyBorder="1"/>
    <xf numFmtId="0" fontId="39" fillId="0" borderId="24" xfId="6" applyFont="1" applyFill="1" applyBorder="1" applyAlignment="1">
      <alignment horizontal="left"/>
    </xf>
    <xf numFmtId="0" fontId="13" fillId="0" borderId="6" xfId="1" applyFont="1" applyFill="1" applyBorder="1" applyAlignment="1">
      <alignment horizontal="center"/>
    </xf>
    <xf numFmtId="4" fontId="13" fillId="0" borderId="6" xfId="1" applyNumberFormat="1" applyFont="1" applyFill="1" applyBorder="1" applyAlignment="1">
      <alignment horizontal="center"/>
    </xf>
    <xf numFmtId="4" fontId="74" fillId="0" borderId="3" xfId="6" applyNumberFormat="1" applyFont="1" applyFill="1" applyBorder="1" applyAlignment="1">
      <alignment horizontal="center"/>
    </xf>
    <xf numFmtId="4" fontId="36" fillId="3" borderId="0" xfId="6" applyNumberFormat="1" applyFont="1" applyFill="1" applyBorder="1" applyAlignment="1">
      <alignment horizontal="right"/>
    </xf>
    <xf numFmtId="2" fontId="41" fillId="0" borderId="0" xfId="6" applyNumberFormat="1" applyFont="1" applyFill="1" applyBorder="1"/>
    <xf numFmtId="0" fontId="7" fillId="0" borderId="0" xfId="1" applyFont="1" applyFill="1"/>
    <xf numFmtId="0" fontId="0" fillId="0" borderId="3" xfId="0" applyFill="1" applyBorder="1" applyAlignment="1">
      <alignment horizontal="center"/>
    </xf>
    <xf numFmtId="4" fontId="8" fillId="0" borderId="3" xfId="0" applyNumberFormat="1" applyFont="1" applyFill="1" applyBorder="1"/>
    <xf numFmtId="176" fontId="0" fillId="0" borderId="0" xfId="0" applyNumberFormat="1"/>
    <xf numFmtId="2" fontId="0" fillId="0" borderId="0" xfId="0" applyNumberFormat="1"/>
    <xf numFmtId="0" fontId="55" fillId="3" borderId="0" xfId="6" applyFont="1" applyFill="1" applyBorder="1"/>
    <xf numFmtId="168" fontId="41" fillId="0" borderId="0" xfId="6" applyNumberFormat="1" applyFont="1" applyFill="1" applyBorder="1"/>
    <xf numFmtId="4" fontId="75" fillId="0" borderId="0" xfId="1" applyNumberFormat="1" applyFont="1" applyBorder="1"/>
    <xf numFmtId="4" fontId="76" fillId="0" borderId="0" xfId="1" applyNumberFormat="1" applyFont="1" applyBorder="1"/>
    <xf numFmtId="49" fontId="12" fillId="0" borderId="0" xfId="6" applyNumberFormat="1" applyFont="1" applyFill="1" applyBorder="1"/>
    <xf numFmtId="1" fontId="12" fillId="0" borderId="0" xfId="6" applyNumberFormat="1" applyFont="1" applyFill="1" applyBorder="1" applyAlignment="1">
      <alignment horizontal="center"/>
    </xf>
    <xf numFmtId="1" fontId="13" fillId="0" borderId="3" xfId="6" applyNumberFormat="1" applyFont="1" applyFill="1" applyBorder="1" applyAlignment="1">
      <alignment horizontal="center"/>
    </xf>
    <xf numFmtId="1" fontId="12" fillId="0" borderId="4" xfId="6" applyNumberFormat="1" applyFont="1" applyFill="1" applyBorder="1" applyAlignment="1">
      <alignment horizontal="center"/>
    </xf>
    <xf numFmtId="4" fontId="41" fillId="0" borderId="9" xfId="6" applyNumberFormat="1" applyFont="1" applyFill="1" applyBorder="1" applyAlignment="1">
      <alignment horizontal="center"/>
    </xf>
    <xf numFmtId="0" fontId="13" fillId="0" borderId="0" xfId="6" applyFont="1" applyFill="1" applyBorder="1" applyAlignment="1">
      <alignment horizontal="right"/>
    </xf>
    <xf numFmtId="0" fontId="5" fillId="0" borderId="0" xfId="0" applyFont="1" applyFill="1" applyBorder="1" applyAlignment="1">
      <alignment horizontal="center" vertical="top" wrapText="1"/>
    </xf>
    <xf numFmtId="0" fontId="60" fillId="0" borderId="0" xfId="0" applyFont="1" applyFill="1"/>
    <xf numFmtId="2" fontId="46" fillId="0" borderId="0" xfId="1" applyNumberFormat="1" applyFont="1" applyBorder="1"/>
    <xf numFmtId="2" fontId="42" fillId="0" borderId="0" xfId="6" applyNumberFormat="1" applyFont="1" applyFill="1" applyBorder="1"/>
    <xf numFmtId="171" fontId="41" fillId="3" borderId="0" xfId="6" applyNumberFormat="1" applyFont="1" applyFill="1" applyBorder="1" applyAlignment="1">
      <alignment horizontal="right"/>
    </xf>
    <xf numFmtId="164" fontId="41" fillId="3" borderId="0" xfId="6" applyNumberFormat="1" applyFont="1" applyFill="1" applyBorder="1"/>
    <xf numFmtId="0" fontId="77" fillId="0" borderId="3" xfId="0" applyFont="1" applyFill="1" applyBorder="1" applyAlignment="1">
      <alignment horizontal="center"/>
    </xf>
    <xf numFmtId="4" fontId="77" fillId="0" borderId="3" xfId="0" applyNumberFormat="1" applyFont="1" applyFill="1" applyBorder="1"/>
    <xf numFmtId="0" fontId="8" fillId="0" borderId="3" xfId="0" applyFont="1" applyFill="1" applyBorder="1" applyAlignment="1">
      <alignment horizontal="center"/>
    </xf>
    <xf numFmtId="167" fontId="41" fillId="3" borderId="0" xfId="6" applyNumberFormat="1" applyFont="1" applyFill="1" applyBorder="1"/>
    <xf numFmtId="0" fontId="46" fillId="3" borderId="0" xfId="1" applyFont="1" applyFill="1"/>
    <xf numFmtId="0" fontId="9" fillId="3" borderId="0" xfId="1" applyFont="1" applyFill="1"/>
    <xf numFmtId="0" fontId="0" fillId="0" borderId="3" xfId="0" applyFill="1" applyBorder="1" applyAlignment="1">
      <alignment horizontal="center" wrapText="1"/>
    </xf>
    <xf numFmtId="0" fontId="0" fillId="0" borderId="3" xfId="0" applyFill="1" applyBorder="1" applyAlignment="1">
      <alignment horizontal="center"/>
    </xf>
    <xf numFmtId="0" fontId="0" fillId="0" borderId="0" xfId="0" applyFill="1" applyBorder="1" applyAlignment="1">
      <alignment horizontal="right" vertical="center"/>
    </xf>
    <xf numFmtId="0" fontId="5" fillId="0" borderId="0" xfId="0" applyFont="1" applyFill="1" applyBorder="1" applyAlignment="1">
      <alignment horizontal="center" vertical="top" wrapText="1"/>
    </xf>
    <xf numFmtId="0" fontId="0" fillId="0" borderId="0" xfId="0" applyFill="1" applyAlignment="1">
      <alignment horizontal="center"/>
    </xf>
    <xf numFmtId="0" fontId="5" fillId="0" borderId="0" xfId="0" applyFont="1" applyFill="1" applyBorder="1" applyAlignment="1">
      <alignment horizontal="center"/>
    </xf>
    <xf numFmtId="0" fontId="0" fillId="0" borderId="0" xfId="0" applyAlignment="1">
      <alignment horizontal="center"/>
    </xf>
    <xf numFmtId="0" fontId="0" fillId="0" borderId="0" xfId="0" applyAlignment="1">
      <alignment vertical="center"/>
    </xf>
    <xf numFmtId="0" fontId="0" fillId="0" borderId="0" xfId="0" applyFill="1" applyBorder="1" applyAlignment="1">
      <alignment horizontal="left" wrapText="1"/>
    </xf>
    <xf numFmtId="0" fontId="0" fillId="0" borderId="1" xfId="0" applyFill="1" applyBorder="1" applyAlignment="1">
      <alignment horizontal="left" wrapText="1"/>
    </xf>
    <xf numFmtId="0" fontId="0" fillId="0" borderId="1" xfId="0" applyFill="1" applyBorder="1" applyAlignment="1">
      <alignment wrapText="1"/>
    </xf>
    <xf numFmtId="0" fontId="6" fillId="0" borderId="0" xfId="0" applyFont="1" applyAlignment="1">
      <alignment wrapText="1"/>
    </xf>
    <xf numFmtId="0" fontId="6" fillId="0" borderId="3" xfId="0" applyFont="1" applyFill="1" applyBorder="1"/>
    <xf numFmtId="0" fontId="6" fillId="0" borderId="1" xfId="0" applyFont="1" applyFill="1" applyBorder="1" applyAlignment="1">
      <alignment horizontal="left"/>
    </xf>
    <xf numFmtId="0" fontId="64" fillId="0" borderId="12" xfId="0" applyFont="1" applyBorder="1"/>
    <xf numFmtId="0" fontId="64" fillId="0" borderId="23" xfId="0" applyFont="1" applyBorder="1"/>
    <xf numFmtId="0" fontId="70" fillId="0" borderId="0" xfId="0" applyFont="1"/>
    <xf numFmtId="0" fontId="64" fillId="0" borderId="18" xfId="0" applyFont="1" applyBorder="1"/>
    <xf numFmtId="0" fontId="64" fillId="0" borderId="13" xfId="0" applyFont="1" applyBorder="1"/>
    <xf numFmtId="0" fontId="64" fillId="0" borderId="0" xfId="0" applyFont="1" applyFill="1" applyBorder="1"/>
    <xf numFmtId="0" fontId="30" fillId="0" borderId="0" xfId="0" applyFont="1" applyFill="1" applyBorder="1"/>
    <xf numFmtId="0" fontId="0" fillId="0" borderId="0" xfId="0" applyBorder="1" applyAlignment="1">
      <alignment horizontal="right"/>
    </xf>
    <xf numFmtId="0" fontId="0" fillId="0" borderId="0" xfId="0" applyBorder="1" applyAlignment="1">
      <alignment wrapText="1"/>
    </xf>
    <xf numFmtId="0" fontId="0" fillId="0" borderId="0" xfId="0" applyBorder="1"/>
    <xf numFmtId="0" fontId="32" fillId="0" borderId="0" xfId="6" applyFont="1" applyFill="1" applyBorder="1"/>
    <xf numFmtId="2" fontId="28" fillId="0" borderId="0" xfId="6" applyNumberFormat="1" applyFont="1" applyFill="1" applyBorder="1" applyAlignment="1">
      <alignment horizontal="center" vertical="top" wrapText="1"/>
    </xf>
    <xf numFmtId="2" fontId="32" fillId="0" borderId="0" xfId="6" applyNumberFormat="1" applyFont="1" applyFill="1" applyBorder="1" applyAlignment="1">
      <alignment horizontal="center" vertical="top" wrapText="1"/>
    </xf>
    <xf numFmtId="1" fontId="28" fillId="0" borderId="0" xfId="6" applyNumberFormat="1" applyFont="1" applyFill="1" applyBorder="1" applyAlignment="1">
      <alignment horizontal="center" vertical="center" wrapText="1"/>
    </xf>
    <xf numFmtId="1" fontId="32" fillId="0" borderId="0" xfId="6" applyNumberFormat="1" applyFont="1" applyFill="1" applyBorder="1" applyAlignment="1">
      <alignment horizontal="center" vertical="center" wrapText="1"/>
    </xf>
    <xf numFmtId="1" fontId="29" fillId="0" borderId="0" xfId="6" applyNumberFormat="1" applyFont="1" applyFill="1" applyBorder="1" applyAlignment="1">
      <alignment horizontal="center" vertical="center" wrapText="1"/>
    </xf>
    <xf numFmtId="2" fontId="29" fillId="0" borderId="0" xfId="6" applyNumberFormat="1" applyFont="1" applyFill="1" applyBorder="1" applyAlignment="1">
      <alignment horizontal="left" wrapText="1"/>
    </xf>
    <xf numFmtId="2" fontId="32" fillId="0" borderId="0" xfId="6" applyNumberFormat="1" applyFont="1" applyFill="1" applyBorder="1" applyAlignment="1">
      <alignment horizontal="left" wrapText="1"/>
    </xf>
    <xf numFmtId="4" fontId="0" fillId="0" borderId="0" xfId="0" applyNumberFormat="1" applyBorder="1"/>
    <xf numFmtId="0" fontId="11" fillId="0" borderId="0" xfId="0" applyFont="1" applyBorder="1"/>
    <xf numFmtId="2" fontId="29" fillId="0" borderId="0" xfId="0" applyNumberFormat="1" applyFont="1" applyFill="1" applyBorder="1" applyAlignment="1">
      <alignment horizontal="left" wrapText="1"/>
    </xf>
    <xf numFmtId="2" fontId="32" fillId="0" borderId="0" xfId="0" applyNumberFormat="1" applyFont="1" applyFill="1" applyBorder="1" applyAlignment="1">
      <alignment horizontal="left" wrapText="1"/>
    </xf>
    <xf numFmtId="2" fontId="28" fillId="0" borderId="0" xfId="0" applyNumberFormat="1" applyFont="1" applyFill="1" applyBorder="1" applyAlignment="1">
      <alignment horizontal="left" wrapText="1"/>
    </xf>
    <xf numFmtId="0" fontId="27" fillId="0" borderId="0" xfId="0" applyFont="1" applyBorder="1"/>
    <xf numFmtId="2" fontId="32" fillId="0" borderId="0" xfId="6" applyNumberFormat="1" applyFont="1" applyFill="1" applyBorder="1" applyAlignment="1">
      <alignment vertical="top" wrapText="1"/>
    </xf>
    <xf numFmtId="1" fontId="28" fillId="0" borderId="0" xfId="6" applyNumberFormat="1" applyFont="1" applyFill="1" applyBorder="1" applyAlignment="1">
      <alignment vertical="top" wrapText="1"/>
    </xf>
    <xf numFmtId="1" fontId="32" fillId="0" borderId="0" xfId="6" applyNumberFormat="1" applyFont="1" applyFill="1" applyBorder="1" applyAlignment="1">
      <alignment vertical="top" wrapText="1"/>
    </xf>
    <xf numFmtId="2" fontId="28" fillId="0" borderId="0" xfId="6" applyNumberFormat="1" applyFont="1" applyFill="1" applyBorder="1" applyAlignment="1">
      <alignment wrapText="1"/>
    </xf>
    <xf numFmtId="2" fontId="32" fillId="0" borderId="0" xfId="6" applyNumberFormat="1" applyFont="1" applyFill="1" applyBorder="1" applyAlignment="1">
      <alignment wrapText="1"/>
    </xf>
    <xf numFmtId="0" fontId="32" fillId="0" borderId="0" xfId="6" applyFont="1" applyFill="1" applyBorder="1" applyAlignment="1"/>
    <xf numFmtId="0" fontId="0" fillId="0" borderId="3" xfId="0" applyFill="1" applyBorder="1" applyAlignment="1">
      <alignment horizontal="center"/>
    </xf>
    <xf numFmtId="0" fontId="0" fillId="0" borderId="0" xfId="0" applyAlignment="1">
      <alignment horizontal="center"/>
    </xf>
    <xf numFmtId="9" fontId="0" fillId="0" borderId="0" xfId="13" applyFont="1" applyAlignment="1">
      <alignment horizontal="right"/>
    </xf>
    <xf numFmtId="49" fontId="64" fillId="0" borderId="23" xfId="0" applyNumberFormat="1" applyFont="1" applyBorder="1"/>
    <xf numFmtId="0" fontId="64" fillId="0" borderId="0" xfId="0" applyFont="1" applyBorder="1"/>
    <xf numFmtId="49" fontId="64" fillId="0" borderId="0" xfId="0" applyNumberFormat="1" applyFont="1" applyBorder="1"/>
    <xf numFmtId="0" fontId="6" fillId="3" borderId="0" xfId="1" applyFont="1" applyFill="1"/>
    <xf numFmtId="0" fontId="12" fillId="3" borderId="0" xfId="6" applyFont="1" applyFill="1" applyBorder="1"/>
    <xf numFmtId="0" fontId="13" fillId="3" borderId="0" xfId="1" applyFont="1" applyFill="1"/>
    <xf numFmtId="4" fontId="36" fillId="0" borderId="0" xfId="6" applyNumberFormat="1" applyFont="1" applyFill="1" applyBorder="1" applyAlignment="1">
      <alignment horizontal="right"/>
    </xf>
    <xf numFmtId="4" fontId="35" fillId="0" borderId="0" xfId="6" applyNumberFormat="1" applyFont="1" applyFill="1" applyBorder="1"/>
    <xf numFmtId="0" fontId="42" fillId="3" borderId="0" xfId="6" applyFont="1" applyFill="1" applyBorder="1"/>
    <xf numFmtId="0" fontId="6" fillId="0" borderId="0" xfId="1" applyFont="1" applyFill="1" applyAlignment="1">
      <alignment horizontal="left"/>
    </xf>
    <xf numFmtId="49" fontId="13" fillId="0" borderId="0" xfId="2" applyNumberFormat="1" applyFont="1" applyFill="1" applyBorder="1" applyAlignment="1">
      <alignment horizontal="left" vertical="center" wrapText="1"/>
    </xf>
    <xf numFmtId="49" fontId="13" fillId="0" borderId="0" xfId="2" applyNumberFormat="1" applyFont="1" applyFill="1" applyBorder="1" applyAlignment="1">
      <alignment horizontal="center" vertical="center" wrapText="1"/>
    </xf>
    <xf numFmtId="4" fontId="13" fillId="0" borderId="0" xfId="1" applyNumberFormat="1" applyFont="1" applyFill="1" applyBorder="1" applyAlignment="1">
      <alignment horizontal="right"/>
    </xf>
    <xf numFmtId="0" fontId="13" fillId="0" borderId="0" xfId="2" applyNumberFormat="1" applyFont="1" applyFill="1" applyBorder="1" applyAlignment="1">
      <alignment horizontal="left" vertical="center" wrapText="1"/>
    </xf>
    <xf numFmtId="0" fontId="13" fillId="0" borderId="0" xfId="2" applyNumberFormat="1" applyFont="1" applyFill="1" applyBorder="1" applyAlignment="1">
      <alignment horizontal="left" vertical="center"/>
    </xf>
    <xf numFmtId="4" fontId="13" fillId="0" borderId="0" xfId="1" applyNumberFormat="1" applyFont="1" applyFill="1" applyBorder="1" applyAlignment="1">
      <alignment horizontal="left"/>
    </xf>
    <xf numFmtId="0" fontId="0" fillId="0" borderId="3" xfId="0" applyFill="1" applyBorder="1" applyAlignment="1">
      <alignment horizontal="center"/>
    </xf>
    <xf numFmtId="0" fontId="0" fillId="0" borderId="3" xfId="0" applyFill="1" applyBorder="1" applyAlignment="1">
      <alignment horizontal="center" wrapText="1"/>
    </xf>
    <xf numFmtId="0" fontId="0" fillId="0" borderId="3" xfId="0" applyFill="1" applyBorder="1" applyAlignment="1">
      <alignment horizontal="center"/>
    </xf>
    <xf numFmtId="0" fontId="30" fillId="0" borderId="0" xfId="0" applyFont="1" applyAlignment="1">
      <alignment horizontal="center"/>
    </xf>
    <xf numFmtId="0" fontId="30" fillId="0" borderId="0" xfId="0" applyFont="1" applyAlignment="1">
      <alignment horizontal="right"/>
    </xf>
    <xf numFmtId="0" fontId="30" fillId="0" borderId="0" xfId="0" applyFont="1" applyAlignment="1">
      <alignment horizontal="right" wrapText="1"/>
    </xf>
    <xf numFmtId="3" fontId="30" fillId="0" borderId="0" xfId="0" applyNumberFormat="1" applyFont="1" applyAlignment="1">
      <alignment horizontal="right"/>
    </xf>
    <xf numFmtId="0" fontId="30" fillId="0" borderId="0" xfId="0" applyFont="1" applyBorder="1" applyAlignment="1">
      <alignment horizontal="right"/>
    </xf>
    <xf numFmtId="0" fontId="13" fillId="0" borderId="0" xfId="0" applyFont="1"/>
    <xf numFmtId="0" fontId="11" fillId="0" borderId="18" xfId="0" applyFont="1" applyBorder="1"/>
    <xf numFmtId="0" fontId="13" fillId="0" borderId="0" xfId="0" applyFont="1" applyFill="1"/>
    <xf numFmtId="0" fontId="13" fillId="0" borderId="0" xfId="0" applyFont="1" applyAlignment="1">
      <alignment horizontal="right"/>
    </xf>
    <xf numFmtId="0" fontId="13" fillId="0" borderId="0" xfId="0" applyFont="1" applyAlignment="1"/>
    <xf numFmtId="0" fontId="11" fillId="0" borderId="0" xfId="0" applyFont="1" applyAlignment="1">
      <alignment horizontal="right"/>
    </xf>
    <xf numFmtId="4" fontId="11" fillId="0" borderId="0" xfId="0" applyNumberFormat="1" applyFont="1" applyAlignment="1">
      <alignment horizontal="right"/>
    </xf>
    <xf numFmtId="0" fontId="11" fillId="0" borderId="0" xfId="0" applyFont="1" applyAlignment="1"/>
    <xf numFmtId="3" fontId="11" fillId="0" borderId="0" xfId="0" applyNumberFormat="1" applyFont="1" applyFill="1" applyBorder="1" applyAlignment="1">
      <alignment horizontal="right"/>
    </xf>
    <xf numFmtId="3" fontId="11" fillId="0" borderId="0" xfId="0" applyNumberFormat="1" applyFont="1" applyAlignment="1">
      <alignment horizontal="right"/>
    </xf>
    <xf numFmtId="3" fontId="11" fillId="0" borderId="0" xfId="0" applyNumberFormat="1" applyFont="1" applyAlignment="1">
      <alignment horizontal="right" wrapText="1"/>
    </xf>
    <xf numFmtId="0" fontId="78" fillId="0" borderId="0" xfId="0" applyFont="1" applyFill="1"/>
    <xf numFmtId="3" fontId="11" fillId="0" borderId="0" xfId="0" applyNumberFormat="1" applyFont="1" applyAlignment="1">
      <alignment horizontal="left"/>
    </xf>
    <xf numFmtId="0" fontId="79" fillId="0" borderId="0" xfId="0" applyFont="1"/>
    <xf numFmtId="0" fontId="0" fillId="0" borderId="1" xfId="0" applyFill="1" applyBorder="1" applyAlignment="1">
      <alignment horizontal="center"/>
    </xf>
    <xf numFmtId="0" fontId="8" fillId="0" borderId="1" xfId="0" applyFont="1" applyFill="1" applyBorder="1"/>
    <xf numFmtId="49" fontId="12" fillId="8" borderId="3" xfId="1" applyNumberFormat="1" applyFont="1" applyFill="1" applyBorder="1"/>
    <xf numFmtId="0" fontId="8" fillId="0" borderId="1" xfId="0" applyFont="1" applyFill="1" applyBorder="1" applyAlignment="1">
      <alignment horizontal="right"/>
    </xf>
    <xf numFmtId="2" fontId="12" fillId="8" borderId="3" xfId="1" applyNumberFormat="1" applyFont="1" applyFill="1" applyBorder="1"/>
    <xf numFmtId="49" fontId="12" fillId="8" borderId="3" xfId="1" applyNumberFormat="1" applyFont="1" applyFill="1" applyBorder="1" applyAlignment="1">
      <alignment horizontal="center"/>
    </xf>
    <xf numFmtId="4" fontId="12" fillId="8" borderId="3" xfId="1" applyNumberFormat="1" applyFont="1" applyFill="1" applyBorder="1" applyAlignment="1">
      <alignment horizontal="right"/>
    </xf>
    <xf numFmtId="0" fontId="6" fillId="0" borderId="3" xfId="0" applyFont="1" applyBorder="1" applyAlignment="1">
      <alignment vertical="center" wrapText="1"/>
    </xf>
    <xf numFmtId="0" fontId="6" fillId="0" borderId="3" xfId="0" applyFont="1" applyBorder="1" applyAlignment="1">
      <alignment horizontal="center" vertical="center" wrapText="1"/>
    </xf>
    <xf numFmtId="0" fontId="6" fillId="0" borderId="3" xfId="0" applyFont="1" applyBorder="1" applyAlignment="1">
      <alignment horizontal="center" vertical="center"/>
    </xf>
    <xf numFmtId="0" fontId="6" fillId="0" borderId="0" xfId="0" applyFont="1" applyAlignment="1">
      <alignment vertical="center"/>
    </xf>
    <xf numFmtId="0" fontId="46" fillId="11" borderId="3" xfId="0" applyFont="1" applyFill="1" applyBorder="1" applyAlignment="1">
      <alignment wrapText="1"/>
    </xf>
    <xf numFmtId="4" fontId="6" fillId="11" borderId="3" xfId="0" applyNumberFormat="1" applyFont="1" applyFill="1" applyBorder="1" applyAlignment="1">
      <alignment horizontal="center" vertical="center"/>
    </xf>
    <xf numFmtId="4" fontId="6" fillId="11" borderId="3" xfId="0" applyNumberFormat="1" applyFont="1" applyFill="1" applyBorder="1" applyAlignment="1">
      <alignment vertical="center"/>
    </xf>
    <xf numFmtId="0" fontId="6" fillId="12" borderId="3" xfId="0" applyFont="1" applyFill="1" applyBorder="1"/>
    <xf numFmtId="4" fontId="6" fillId="12" borderId="3" xfId="0" applyNumberFormat="1" applyFont="1" applyFill="1" applyBorder="1"/>
    <xf numFmtId="4" fontId="6" fillId="4" borderId="3" xfId="0" applyNumberFormat="1" applyFont="1" applyFill="1" applyBorder="1"/>
    <xf numFmtId="0" fontId="6" fillId="13" borderId="3" xfId="0" applyFont="1" applyFill="1" applyBorder="1"/>
    <xf numFmtId="4" fontId="6" fillId="13" borderId="3" xfId="0" applyNumberFormat="1" applyFont="1" applyFill="1" applyBorder="1"/>
    <xf numFmtId="4" fontId="45" fillId="0" borderId="3" xfId="0" applyNumberFormat="1" applyFont="1" applyBorder="1"/>
    <xf numFmtId="0" fontId="45" fillId="0" borderId="3" xfId="0" applyFont="1" applyFill="1" applyBorder="1"/>
    <xf numFmtId="0" fontId="6" fillId="0" borderId="7" xfId="0" applyFont="1" applyFill="1" applyBorder="1"/>
    <xf numFmtId="4" fontId="6" fillId="0" borderId="0" xfId="0" applyNumberFormat="1" applyFont="1" applyBorder="1"/>
    <xf numFmtId="0" fontId="0" fillId="11" borderId="0" xfId="0" applyFill="1" applyBorder="1" applyAlignment="1">
      <alignment horizontal="center"/>
    </xf>
    <xf numFmtId="4" fontId="6" fillId="9" borderId="3" xfId="0" applyNumberFormat="1" applyFont="1" applyFill="1" applyBorder="1" applyAlignment="1">
      <alignment horizontal="center" vertical="center"/>
    </xf>
    <xf numFmtId="4" fontId="6" fillId="11" borderId="3" xfId="0" applyNumberFormat="1" applyFont="1" applyFill="1" applyBorder="1"/>
    <xf numFmtId="4" fontId="0" fillId="9" borderId="3" xfId="0" applyNumberFormat="1" applyFill="1" applyBorder="1"/>
    <xf numFmtId="4" fontId="45" fillId="0" borderId="3" xfId="0" applyNumberFormat="1" applyFont="1" applyFill="1" applyBorder="1"/>
    <xf numFmtId="4" fontId="13" fillId="4" borderId="11" xfId="0" applyNumberFormat="1" applyFont="1" applyFill="1" applyBorder="1"/>
    <xf numFmtId="4" fontId="13" fillId="4" borderId="3" xfId="0" applyNumberFormat="1" applyFont="1" applyFill="1" applyBorder="1"/>
    <xf numFmtId="4" fontId="13" fillId="4" borderId="17" xfId="0" applyNumberFormat="1" applyFont="1" applyFill="1" applyBorder="1"/>
    <xf numFmtId="4" fontId="13" fillId="4" borderId="9" xfId="0" applyNumberFormat="1" applyFont="1" applyFill="1" applyBorder="1"/>
    <xf numFmtId="4" fontId="13" fillId="4" borderId="8" xfId="0" applyNumberFormat="1" applyFont="1" applyFill="1" applyBorder="1"/>
    <xf numFmtId="4" fontId="0" fillId="12" borderId="11" xfId="0" applyNumberFormat="1" applyFill="1" applyBorder="1"/>
    <xf numFmtId="49" fontId="13" fillId="7" borderId="3" xfId="22" applyNumberFormat="1" applyFont="1" applyFill="1" applyBorder="1"/>
    <xf numFmtId="0" fontId="0" fillId="0" borderId="9" xfId="0" applyBorder="1"/>
    <xf numFmtId="0" fontId="0" fillId="0" borderId="8" xfId="0" applyBorder="1"/>
    <xf numFmtId="0" fontId="0" fillId="0" borderId="11" xfId="0" applyBorder="1"/>
    <xf numFmtId="0" fontId="0" fillId="0" borderId="17" xfId="0" applyBorder="1"/>
    <xf numFmtId="49" fontId="13" fillId="7" borderId="3" xfId="3" applyNumberFormat="1" applyFont="1" applyFill="1" applyBorder="1" applyAlignment="1">
      <alignment horizontal="left" wrapText="1"/>
    </xf>
    <xf numFmtId="0" fontId="0" fillId="0" borderId="25" xfId="0" applyBorder="1"/>
    <xf numFmtId="0" fontId="0" fillId="0" borderId="26" xfId="0" applyBorder="1"/>
    <xf numFmtId="0" fontId="0" fillId="0" borderId="27" xfId="0" applyBorder="1"/>
    <xf numFmtId="49" fontId="0" fillId="0" borderId="10" xfId="0" applyNumberFormat="1" applyBorder="1"/>
    <xf numFmtId="4" fontId="0" fillId="14" borderId="11" xfId="0" applyNumberFormat="1" applyFill="1" applyBorder="1"/>
    <xf numFmtId="49" fontId="13" fillId="7" borderId="10" xfId="22" applyNumberFormat="1" applyFont="1" applyFill="1" applyBorder="1"/>
    <xf numFmtId="49" fontId="13" fillId="7" borderId="10" xfId="3" applyNumberFormat="1" applyFont="1" applyFill="1" applyBorder="1" applyAlignment="1">
      <alignment horizontal="left" wrapText="1"/>
    </xf>
    <xf numFmtId="4" fontId="0" fillId="12" borderId="28" xfId="0" applyNumberFormat="1" applyFill="1" applyBorder="1"/>
    <xf numFmtId="0" fontId="6" fillId="0" borderId="0" xfId="23" applyFont="1"/>
    <xf numFmtId="0" fontId="6" fillId="0" borderId="0" xfId="23" applyFont="1" applyFill="1"/>
    <xf numFmtId="0" fontId="6" fillId="0" borderId="0" xfId="23" applyFont="1" applyFill="1" applyAlignment="1">
      <alignment horizontal="center"/>
    </xf>
    <xf numFmtId="0" fontId="9" fillId="0" borderId="0" xfId="23" applyFont="1" applyFill="1"/>
    <xf numFmtId="0" fontId="9" fillId="7" borderId="0" xfId="23" applyFont="1" applyFill="1"/>
    <xf numFmtId="0" fontId="9" fillId="0" borderId="0" xfId="23" applyFont="1"/>
    <xf numFmtId="0" fontId="12" fillId="0" borderId="3" xfId="23" applyFont="1" applyFill="1" applyBorder="1"/>
    <xf numFmtId="0" fontId="12" fillId="7" borderId="3" xfId="23" applyFont="1" applyFill="1" applyBorder="1"/>
    <xf numFmtId="0" fontId="11" fillId="0" borderId="0" xfId="23" applyFont="1"/>
    <xf numFmtId="4" fontId="11" fillId="0" borderId="3" xfId="23" applyNumberFormat="1" applyFont="1" applyFill="1" applyBorder="1" applyAlignment="1">
      <alignment horizontal="right"/>
    </xf>
    <xf numFmtId="4" fontId="11" fillId="7" borderId="3" xfId="23" applyNumberFormat="1" applyFont="1" applyFill="1" applyBorder="1" applyAlignment="1">
      <alignment horizontal="right"/>
    </xf>
    <xf numFmtId="1" fontId="11" fillId="0" borderId="6" xfId="23" applyNumberFormat="1" applyFont="1" applyBorder="1" applyAlignment="1">
      <alignment horizontal="center" wrapText="1"/>
    </xf>
    <xf numFmtId="1" fontId="11" fillId="0" borderId="6" xfId="23" applyNumberFormat="1" applyFont="1" applyFill="1" applyBorder="1" applyAlignment="1">
      <alignment horizontal="center" wrapText="1"/>
    </xf>
    <xf numFmtId="49" fontId="6" fillId="0" borderId="3" xfId="23" applyNumberFormat="1" applyFont="1" applyFill="1" applyBorder="1" applyAlignment="1">
      <alignment horizontal="center"/>
    </xf>
    <xf numFmtId="49" fontId="6" fillId="5" borderId="3" xfId="23" applyNumberFormat="1" applyFont="1" applyFill="1" applyBorder="1"/>
    <xf numFmtId="49" fontId="6" fillId="0" borderId="3" xfId="23" applyNumberFormat="1" applyFont="1" applyFill="1" applyBorder="1"/>
    <xf numFmtId="4" fontId="6" fillId="7" borderId="3" xfId="23" applyNumberFormat="1" applyFont="1" applyFill="1" applyBorder="1" applyAlignment="1">
      <alignment horizontal="right"/>
    </xf>
    <xf numFmtId="0" fontId="6" fillId="0" borderId="3" xfId="23" applyFont="1" applyBorder="1"/>
    <xf numFmtId="49" fontId="13" fillId="0" borderId="3" xfId="24" applyNumberFormat="1" applyFont="1" applyFill="1" applyBorder="1" applyAlignment="1">
      <alignment horizontal="left" vertical="center" wrapText="1"/>
    </xf>
    <xf numFmtId="49" fontId="13" fillId="0" borderId="3" xfId="24" applyNumberFormat="1" applyFont="1" applyFill="1" applyBorder="1" applyAlignment="1">
      <alignment horizontal="center" vertical="center" wrapText="1"/>
    </xf>
    <xf numFmtId="4" fontId="13" fillId="0" borderId="3" xfId="23" applyNumberFormat="1" applyFont="1" applyFill="1" applyBorder="1" applyAlignment="1">
      <alignment horizontal="right"/>
    </xf>
    <xf numFmtId="0" fontId="15" fillId="0" borderId="0" xfId="23" applyFont="1"/>
    <xf numFmtId="49" fontId="12" fillId="0" borderId="3" xfId="24" applyNumberFormat="1" applyFont="1" applyFill="1" applyBorder="1" applyAlignment="1">
      <alignment horizontal="left" vertical="center" wrapText="1"/>
    </xf>
    <xf numFmtId="49" fontId="12" fillId="0" borderId="3" xfId="24" applyNumberFormat="1" applyFont="1" applyFill="1" applyBorder="1" applyAlignment="1">
      <alignment horizontal="center" vertical="center" wrapText="1"/>
    </xf>
    <xf numFmtId="4" fontId="12" fillId="0" borderId="3" xfId="23" applyNumberFormat="1" applyFont="1" applyFill="1" applyBorder="1" applyAlignment="1">
      <alignment horizontal="right"/>
    </xf>
    <xf numFmtId="4" fontId="6" fillId="0" borderId="5" xfId="3" applyNumberFormat="1" applyFont="1" applyFill="1" applyBorder="1" applyAlignment="1">
      <alignment horizontal="right" wrapText="1"/>
    </xf>
    <xf numFmtId="0" fontId="26" fillId="0" borderId="0" xfId="23" applyFont="1"/>
    <xf numFmtId="49" fontId="12" fillId="15" borderId="3" xfId="24" applyNumberFormat="1" applyFont="1" applyFill="1" applyBorder="1" applyAlignment="1">
      <alignment horizontal="left" vertical="center" wrapText="1"/>
    </xf>
    <xf numFmtId="4" fontId="6" fillId="0" borderId="0" xfId="23" applyNumberFormat="1" applyFont="1"/>
    <xf numFmtId="49" fontId="12" fillId="0" borderId="8" xfId="24" applyNumberFormat="1" applyFont="1" applyFill="1" applyBorder="1" applyAlignment="1">
      <alignment horizontal="left" vertical="center" wrapText="1"/>
    </xf>
    <xf numFmtId="49" fontId="12" fillId="0" borderId="8" xfId="24" applyNumberFormat="1" applyFont="1" applyFill="1" applyBorder="1" applyAlignment="1">
      <alignment horizontal="center" vertical="center" wrapText="1"/>
    </xf>
    <xf numFmtId="0" fontId="16" fillId="0" borderId="0" xfId="23" applyFont="1"/>
    <xf numFmtId="4" fontId="9" fillId="0" borderId="5" xfId="3" applyNumberFormat="1" applyFont="1" applyFill="1" applyBorder="1" applyAlignment="1">
      <alignment horizontal="right" wrapText="1"/>
    </xf>
    <xf numFmtId="49" fontId="81" fillId="0" borderId="3" xfId="24" applyNumberFormat="1" applyFont="1" applyFill="1" applyBorder="1" applyAlignment="1">
      <alignment horizontal="left" vertical="center" wrapText="1"/>
    </xf>
    <xf numFmtId="4" fontId="12" fillId="7" borderId="3" xfId="23" applyNumberFormat="1" applyFont="1" applyFill="1" applyBorder="1" applyAlignment="1">
      <alignment horizontal="right"/>
    </xf>
    <xf numFmtId="49" fontId="81" fillId="0" borderId="3" xfId="24" applyNumberFormat="1" applyFont="1" applyFill="1" applyBorder="1" applyAlignment="1">
      <alignment horizontal="center" vertical="center" wrapText="1"/>
    </xf>
    <xf numFmtId="4" fontId="81" fillId="0" borderId="3" xfId="23" applyNumberFormat="1" applyFont="1" applyFill="1" applyBorder="1" applyAlignment="1">
      <alignment horizontal="right"/>
    </xf>
    <xf numFmtId="4" fontId="81" fillId="0" borderId="5" xfId="3" applyNumberFormat="1" applyFont="1" applyFill="1" applyBorder="1" applyAlignment="1">
      <alignment horizontal="right" wrapText="1"/>
    </xf>
    <xf numFmtId="0" fontId="81" fillId="0" borderId="0" xfId="23" applyFont="1"/>
    <xf numFmtId="49" fontId="13" fillId="7" borderId="3" xfId="24" applyNumberFormat="1" applyFont="1" applyFill="1" applyBorder="1" applyAlignment="1">
      <alignment horizontal="left" vertical="center" wrapText="1"/>
    </xf>
    <xf numFmtId="49" fontId="13" fillId="7" borderId="3" xfId="24" applyNumberFormat="1" applyFont="1" applyFill="1" applyBorder="1" applyAlignment="1">
      <alignment horizontal="center" vertical="center" wrapText="1"/>
    </xf>
    <xf numFmtId="4" fontId="13" fillId="7" borderId="3" xfId="23" applyNumberFormat="1" applyFont="1" applyFill="1" applyBorder="1" applyAlignment="1">
      <alignment horizontal="right"/>
    </xf>
    <xf numFmtId="49" fontId="13" fillId="0" borderId="8" xfId="24" applyNumberFormat="1" applyFont="1" applyFill="1" applyBorder="1" applyAlignment="1">
      <alignment horizontal="left" vertical="center" wrapText="1"/>
    </xf>
    <xf numFmtId="49" fontId="13" fillId="0" borderId="8" xfId="24" applyNumberFormat="1" applyFont="1" applyFill="1" applyBorder="1" applyAlignment="1">
      <alignment horizontal="center" vertical="center" wrapText="1"/>
    </xf>
    <xf numFmtId="49" fontId="12" fillId="5" borderId="3" xfId="23" applyNumberFormat="1" applyFont="1" applyFill="1" applyBorder="1"/>
    <xf numFmtId="49" fontId="12" fillId="0" borderId="3" xfId="23" applyNumberFormat="1" applyFont="1" applyFill="1" applyBorder="1"/>
    <xf numFmtId="49" fontId="12" fillId="0" borderId="3" xfId="23" applyNumberFormat="1" applyFont="1" applyFill="1" applyBorder="1" applyAlignment="1">
      <alignment horizontal="center"/>
    </xf>
    <xf numFmtId="49" fontId="13" fillId="0" borderId="3" xfId="23" applyNumberFormat="1" applyFont="1" applyBorder="1" applyAlignment="1">
      <alignment wrapText="1"/>
    </xf>
    <xf numFmtId="49" fontId="13" fillId="0" borderId="3" xfId="23" applyNumberFormat="1" applyFont="1" applyFill="1" applyBorder="1" applyAlignment="1">
      <alignment wrapText="1"/>
    </xf>
    <xf numFmtId="49" fontId="13" fillId="0" borderId="3" xfId="23" applyNumberFormat="1" applyFont="1" applyFill="1" applyBorder="1" applyAlignment="1">
      <alignment horizontal="center"/>
    </xf>
    <xf numFmtId="49" fontId="13" fillId="0" borderId="3" xfId="23" applyNumberFormat="1" applyFont="1" applyBorder="1"/>
    <xf numFmtId="49" fontId="13" fillId="0" borderId="3" xfId="23" applyNumberFormat="1" applyFont="1" applyFill="1" applyBorder="1"/>
    <xf numFmtId="0" fontId="80" fillId="0" borderId="0" xfId="23" applyFont="1"/>
    <xf numFmtId="49" fontId="12" fillId="2" borderId="3" xfId="23" applyNumberFormat="1" applyFont="1" applyFill="1" applyBorder="1"/>
    <xf numFmtId="49" fontId="81" fillId="5" borderId="3" xfId="3" applyNumberFormat="1" applyFont="1" applyFill="1" applyBorder="1" applyAlignment="1">
      <alignment horizontal="left" wrapText="1"/>
    </xf>
    <xf numFmtId="49" fontId="81" fillId="0" borderId="3" xfId="3" applyNumberFormat="1" applyFont="1" applyFill="1" applyBorder="1" applyAlignment="1">
      <alignment horizontal="left" wrapText="1"/>
    </xf>
    <xf numFmtId="49" fontId="81" fillId="0" borderId="3" xfId="23" applyNumberFormat="1" applyFont="1" applyFill="1" applyBorder="1" applyAlignment="1">
      <alignment horizontal="center"/>
    </xf>
    <xf numFmtId="4" fontId="81" fillId="7" borderId="3" xfId="23" applyNumberFormat="1" applyFont="1" applyFill="1" applyBorder="1" applyAlignment="1">
      <alignment horizontal="right"/>
    </xf>
    <xf numFmtId="49" fontId="80" fillId="0" borderId="3" xfId="23" applyNumberFormat="1" applyFont="1" applyFill="1" applyBorder="1"/>
    <xf numFmtId="4" fontId="80" fillId="0" borderId="3" xfId="23" applyNumberFormat="1" applyFont="1" applyFill="1" applyBorder="1" applyAlignment="1">
      <alignment horizontal="right"/>
    </xf>
    <xf numFmtId="4" fontId="80" fillId="7" borderId="3" xfId="23" applyNumberFormat="1" applyFont="1" applyFill="1" applyBorder="1" applyAlignment="1">
      <alignment horizontal="right"/>
    </xf>
    <xf numFmtId="49" fontId="12" fillId="0" borderId="9" xfId="24" applyNumberFormat="1" applyFont="1" applyFill="1" applyBorder="1" applyAlignment="1">
      <alignment horizontal="left" vertical="center"/>
    </xf>
    <xf numFmtId="49" fontId="12" fillId="3" borderId="3" xfId="23" applyNumberFormat="1" applyFont="1" applyFill="1" applyBorder="1"/>
    <xf numFmtId="0" fontId="13" fillId="0" borderId="0" xfId="23" applyFont="1"/>
    <xf numFmtId="0" fontId="13" fillId="0" borderId="0" xfId="23" applyFont="1" applyFill="1"/>
    <xf numFmtId="0" fontId="13" fillId="0" borderId="0" xfId="23" applyFont="1" applyFill="1" applyAlignment="1">
      <alignment horizontal="center"/>
    </xf>
    <xf numFmtId="4" fontId="13" fillId="0" borderId="0" xfId="23" applyNumberFormat="1" applyFont="1" applyFill="1"/>
    <xf numFmtId="4" fontId="13" fillId="7" borderId="0" xfId="23" applyNumberFormat="1" applyFont="1" applyFill="1"/>
    <xf numFmtId="0" fontId="9" fillId="0" borderId="0" xfId="23" applyFont="1" applyAlignment="1">
      <alignment horizontal="center"/>
    </xf>
    <xf numFmtId="0" fontId="13" fillId="0" borderId="0" xfId="23" applyFont="1" applyAlignment="1">
      <alignment horizontal="right"/>
    </xf>
    <xf numFmtId="0" fontId="9" fillId="0" borderId="0" xfId="23" applyFont="1" applyFill="1" applyAlignment="1">
      <alignment horizontal="center"/>
    </xf>
    <xf numFmtId="4" fontId="9" fillId="0" borderId="0" xfId="23" applyNumberFormat="1" applyFont="1" applyFill="1"/>
    <xf numFmtId="4" fontId="9" fillId="7" borderId="0" xfId="23" applyNumberFormat="1" applyFont="1" applyFill="1"/>
    <xf numFmtId="4" fontId="13" fillId="16" borderId="3" xfId="1" applyNumberFormat="1" applyFont="1" applyFill="1" applyBorder="1" applyAlignment="1">
      <alignment horizontal="right"/>
    </xf>
    <xf numFmtId="4" fontId="13" fillId="16" borderId="5" xfId="1" applyNumberFormat="1" applyFont="1" applyFill="1" applyBorder="1" applyAlignment="1">
      <alignment horizontal="right"/>
    </xf>
    <xf numFmtId="4" fontId="0" fillId="10" borderId="11" xfId="0" applyNumberFormat="1" applyFill="1" applyBorder="1"/>
    <xf numFmtId="4" fontId="0" fillId="10" borderId="28" xfId="0" applyNumberFormat="1" applyFill="1" applyBorder="1"/>
    <xf numFmtId="4" fontId="18" fillId="10" borderId="0" xfId="0" applyNumberFormat="1" applyFont="1" applyFill="1"/>
    <xf numFmtId="4" fontId="13" fillId="11" borderId="3" xfId="1" applyNumberFormat="1" applyFont="1" applyFill="1" applyBorder="1" applyAlignment="1">
      <alignment horizontal="right"/>
    </xf>
    <xf numFmtId="49" fontId="13" fillId="11" borderId="3" xfId="2" applyNumberFormat="1" applyFont="1" applyFill="1" applyBorder="1" applyAlignment="1">
      <alignment horizontal="left" vertical="center" wrapText="1"/>
    </xf>
    <xf numFmtId="4" fontId="12" fillId="0" borderId="0" xfId="0" applyNumberFormat="1" applyFont="1" applyFill="1"/>
    <xf numFmtId="49" fontId="9" fillId="0" borderId="0" xfId="23" applyNumberFormat="1" applyFont="1"/>
    <xf numFmtId="4" fontId="0" fillId="7" borderId="3" xfId="0" applyNumberFormat="1" applyFill="1" applyBorder="1"/>
    <xf numFmtId="4" fontId="13" fillId="10" borderId="3" xfId="1" applyNumberFormat="1" applyFont="1" applyFill="1" applyBorder="1" applyAlignment="1">
      <alignment horizontal="right"/>
    </xf>
    <xf numFmtId="1" fontId="13" fillId="0" borderId="3" xfId="2" applyNumberFormat="1" applyFont="1" applyFill="1" applyBorder="1" applyAlignment="1">
      <alignment horizontal="left" vertical="center" wrapText="1"/>
    </xf>
    <xf numFmtId="4" fontId="13" fillId="5" borderId="3" xfId="1" applyNumberFormat="1" applyFont="1" applyFill="1" applyBorder="1" applyAlignment="1">
      <alignment horizontal="right"/>
    </xf>
    <xf numFmtId="0" fontId="15" fillId="0" borderId="0" xfId="1" applyFont="1" applyFill="1"/>
    <xf numFmtId="4" fontId="13" fillId="17" borderId="3" xfId="1" applyNumberFormat="1" applyFont="1" applyFill="1" applyBorder="1" applyAlignment="1">
      <alignment horizontal="right"/>
    </xf>
    <xf numFmtId="4" fontId="12" fillId="17" borderId="5" xfId="3" applyNumberFormat="1" applyFont="1" applyFill="1" applyBorder="1" applyAlignment="1">
      <alignment horizontal="right" wrapText="1"/>
    </xf>
    <xf numFmtId="4" fontId="12" fillId="17" borderId="3" xfId="1" applyNumberFormat="1" applyFont="1" applyFill="1" applyBorder="1" applyAlignment="1">
      <alignment horizontal="right"/>
    </xf>
    <xf numFmtId="4" fontId="13" fillId="0" borderId="6" xfId="1" applyNumberFormat="1" applyFont="1" applyFill="1" applyBorder="1" applyAlignment="1">
      <alignment horizontal="right"/>
    </xf>
    <xf numFmtId="4" fontId="13" fillId="18" borderId="3" xfId="1" applyNumberFormat="1" applyFont="1" applyFill="1" applyBorder="1" applyAlignment="1">
      <alignment horizontal="right"/>
    </xf>
    <xf numFmtId="4" fontId="12" fillId="7" borderId="5" xfId="3" applyNumberFormat="1" applyFont="1" applyFill="1" applyBorder="1" applyAlignment="1">
      <alignment horizontal="right" wrapText="1"/>
    </xf>
    <xf numFmtId="4" fontId="13" fillId="7" borderId="5" xfId="3" applyNumberFormat="1" applyFont="1" applyFill="1" applyBorder="1" applyAlignment="1">
      <alignment horizontal="right" wrapText="1"/>
    </xf>
    <xf numFmtId="4" fontId="9" fillId="7" borderId="5" xfId="3" applyNumberFormat="1" applyFont="1" applyFill="1" applyBorder="1" applyAlignment="1">
      <alignment horizontal="right" wrapText="1"/>
    </xf>
    <xf numFmtId="4" fontId="6" fillId="7" borderId="5" xfId="3" applyNumberFormat="1" applyFont="1" applyFill="1" applyBorder="1" applyAlignment="1">
      <alignment horizontal="right" wrapText="1"/>
    </xf>
    <xf numFmtId="4" fontId="80" fillId="7" borderId="5" xfId="3" applyNumberFormat="1" applyFont="1" applyFill="1" applyBorder="1" applyAlignment="1">
      <alignment horizontal="right" wrapText="1"/>
    </xf>
    <xf numFmtId="4" fontId="81" fillId="7" borderId="5" xfId="3" applyNumberFormat="1" applyFont="1" applyFill="1" applyBorder="1" applyAlignment="1">
      <alignment horizontal="right" wrapText="1"/>
    </xf>
    <xf numFmtId="0" fontId="15" fillId="7" borderId="3" xfId="23" applyFont="1" applyFill="1" applyBorder="1"/>
    <xf numFmtId="4" fontId="13" fillId="7" borderId="3" xfId="1" applyNumberFormat="1" applyFont="1" applyFill="1" applyBorder="1" applyAlignment="1">
      <alignment horizontal="right"/>
    </xf>
    <xf numFmtId="4" fontId="0" fillId="5" borderId="3" xfId="0" applyNumberFormat="1" applyFill="1" applyBorder="1"/>
    <xf numFmtId="0" fontId="0" fillId="0" borderId="0" xfId="0" applyFill="1" applyAlignment="1">
      <alignment horizontal="center"/>
    </xf>
    <xf numFmtId="0" fontId="0" fillId="0" borderId="1" xfId="0" applyFill="1" applyBorder="1" applyAlignment="1">
      <alignment horizontal="center"/>
    </xf>
    <xf numFmtId="0" fontId="5" fillId="0" borderId="0" xfId="0" applyFont="1" applyFill="1" applyBorder="1" applyAlignment="1">
      <alignment horizontal="center" vertical="top" wrapText="1"/>
    </xf>
    <xf numFmtId="0" fontId="5" fillId="0" borderId="0" xfId="0" applyFont="1" applyFill="1" applyBorder="1" applyAlignment="1">
      <alignment horizontal="center"/>
    </xf>
    <xf numFmtId="0" fontId="5" fillId="0" borderId="2" xfId="0" applyFont="1" applyFill="1" applyBorder="1" applyAlignment="1">
      <alignment horizontal="center" vertical="top" wrapText="1"/>
    </xf>
    <xf numFmtId="0" fontId="5" fillId="0" borderId="2" xfId="0" applyFont="1" applyFill="1" applyBorder="1" applyAlignment="1">
      <alignment horizontal="center"/>
    </xf>
    <xf numFmtId="0" fontId="7" fillId="0" borderId="0" xfId="0" applyFont="1" applyFill="1" applyAlignment="1">
      <alignment horizontal="center" wrapText="1"/>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0" xfId="0" applyFill="1" applyBorder="1" applyAlignment="1">
      <alignment horizontal="right" vertical="center"/>
    </xf>
    <xf numFmtId="0" fontId="0" fillId="0" borderId="4" xfId="0" applyFill="1" applyBorder="1" applyAlignment="1">
      <alignment horizontal="right" vertical="center"/>
    </xf>
    <xf numFmtId="0" fontId="0" fillId="0" borderId="5" xfId="0" applyFill="1" applyBorder="1" applyAlignment="1">
      <alignment horizontal="right" vertical="center"/>
    </xf>
    <xf numFmtId="0" fontId="0" fillId="0" borderId="6" xfId="0" applyFill="1" applyBorder="1" applyAlignment="1">
      <alignment horizontal="right" vertical="center"/>
    </xf>
    <xf numFmtId="0" fontId="0" fillId="0" borderId="3" xfId="0" applyFill="1" applyBorder="1" applyAlignment="1">
      <alignment horizontal="center" wrapText="1"/>
    </xf>
    <xf numFmtId="0" fontId="0" fillId="0" borderId="3" xfId="0" applyFill="1" applyBorder="1" applyAlignment="1">
      <alignment horizontal="center"/>
    </xf>
    <xf numFmtId="0" fontId="0" fillId="0" borderId="7" xfId="0" applyFill="1" applyBorder="1" applyAlignment="1">
      <alignment horizontal="right" vertical="center"/>
    </xf>
    <xf numFmtId="0" fontId="6" fillId="0" borderId="0" xfId="0" applyFont="1" applyFill="1" applyAlignment="1">
      <alignment horizontal="left" wrapText="1"/>
    </xf>
    <xf numFmtId="0" fontId="0" fillId="0" borderId="5" xfId="0" applyFill="1" applyBorder="1" applyAlignment="1">
      <alignment horizontal="center" wrapText="1"/>
    </xf>
    <xf numFmtId="0" fontId="0" fillId="0" borderId="6" xfId="0" applyFill="1" applyBorder="1" applyAlignment="1">
      <alignment horizontal="center" wrapText="1"/>
    </xf>
    <xf numFmtId="0" fontId="0" fillId="0" borderId="8" xfId="0" applyFill="1" applyBorder="1" applyAlignment="1">
      <alignment horizontal="center"/>
    </xf>
    <xf numFmtId="0" fontId="0" fillId="0" borderId="10" xfId="0" applyFill="1" applyBorder="1" applyAlignment="1">
      <alignment horizontal="center"/>
    </xf>
    <xf numFmtId="0" fontId="0" fillId="0" borderId="9" xfId="0" applyFill="1" applyBorder="1" applyAlignment="1">
      <alignment horizontal="center"/>
    </xf>
    <xf numFmtId="0" fontId="0" fillId="0" borderId="3" xfId="0" applyFill="1" applyBorder="1" applyAlignment="1">
      <alignment horizontal="left" wrapText="1"/>
    </xf>
    <xf numFmtId="0" fontId="0" fillId="0" borderId="8" xfId="0" applyFill="1" applyBorder="1" applyAlignment="1">
      <alignment horizontal="left" wrapText="1"/>
    </xf>
    <xf numFmtId="0" fontId="0" fillId="0" borderId="9" xfId="0" applyFill="1" applyBorder="1" applyAlignment="1">
      <alignment horizontal="left" wrapText="1"/>
    </xf>
    <xf numFmtId="0" fontId="6" fillId="0" borderId="1" xfId="0" applyFont="1" applyFill="1" applyBorder="1" applyAlignment="1">
      <alignment horizontal="right"/>
    </xf>
    <xf numFmtId="0" fontId="6" fillId="0" borderId="1" xfId="0" applyFont="1" applyFill="1" applyBorder="1" applyAlignment="1">
      <alignment horizontal="center"/>
    </xf>
    <xf numFmtId="0" fontId="0" fillId="0" borderId="2" xfId="0" applyFill="1" applyBorder="1" applyAlignment="1">
      <alignment horizontal="center"/>
    </xf>
    <xf numFmtId="0" fontId="6" fillId="0" borderId="1" xfId="0" applyFont="1" applyFill="1" applyBorder="1" applyAlignment="1">
      <alignment horizontal="left"/>
    </xf>
    <xf numFmtId="0" fontId="0" fillId="0" borderId="0" xfId="0" applyFill="1" applyAlignment="1">
      <alignment horizontal="left" wrapText="1"/>
    </xf>
    <xf numFmtId="4" fontId="28" fillId="0" borderId="0" xfId="6" applyNumberFormat="1" applyFont="1" applyFill="1" applyBorder="1" applyAlignment="1">
      <alignment horizontal="center" wrapText="1"/>
    </xf>
    <xf numFmtId="4" fontId="28" fillId="0" borderId="0" xfId="6" applyNumberFormat="1" applyFont="1" applyFill="1" applyBorder="1" applyAlignment="1">
      <alignment horizontal="center"/>
    </xf>
    <xf numFmtId="1" fontId="28" fillId="0" borderId="0" xfId="6" applyNumberFormat="1" applyFont="1" applyFill="1" applyBorder="1" applyAlignment="1">
      <alignment horizontal="center" vertical="top"/>
    </xf>
    <xf numFmtId="2" fontId="28" fillId="0" borderId="0" xfId="6" applyNumberFormat="1" applyFont="1" applyFill="1" applyBorder="1" applyAlignment="1">
      <alignment horizontal="center" vertical="top" wrapText="1"/>
    </xf>
    <xf numFmtId="2" fontId="28" fillId="0" borderId="0" xfId="6" applyNumberFormat="1" applyFont="1" applyFill="1" applyBorder="1" applyAlignment="1">
      <alignment horizontal="left" vertical="top" wrapText="1"/>
    </xf>
    <xf numFmtId="1" fontId="28" fillId="0" borderId="0" xfId="6" applyNumberFormat="1" applyFont="1" applyFill="1" applyBorder="1" applyAlignment="1">
      <alignment horizontal="center" vertical="top" wrapText="1"/>
    </xf>
    <xf numFmtId="1" fontId="28" fillId="0" borderId="0" xfId="6" applyNumberFormat="1" applyFont="1" applyFill="1" applyBorder="1" applyAlignment="1">
      <alignment horizontal="center" wrapText="1"/>
    </xf>
    <xf numFmtId="2" fontId="28" fillId="0" borderId="0" xfId="6" applyNumberFormat="1" applyFont="1" applyFill="1" applyBorder="1" applyAlignment="1">
      <alignment horizontal="center" wrapText="1"/>
    </xf>
    <xf numFmtId="2" fontId="28" fillId="0" borderId="0" xfId="6" applyNumberFormat="1" applyFont="1" applyFill="1" applyBorder="1" applyAlignment="1">
      <alignment horizontal="center"/>
    </xf>
    <xf numFmtId="0" fontId="28" fillId="0" borderId="0" xfId="6" applyFont="1" applyFill="1" applyBorder="1" applyAlignment="1">
      <alignment horizontal="right" wrapText="1"/>
    </xf>
    <xf numFmtId="0" fontId="28" fillId="0" borderId="0" xfId="6" applyFont="1" applyFill="1" applyBorder="1" applyAlignment="1">
      <alignment horizontal="center" vertical="top" wrapText="1"/>
    </xf>
    <xf numFmtId="0" fontId="28" fillId="0" borderId="0" xfId="6" applyFont="1" applyFill="1" applyBorder="1" applyAlignment="1">
      <alignment horizontal="center" vertical="top"/>
    </xf>
    <xf numFmtId="1" fontId="28" fillId="0" borderId="0" xfId="6" applyNumberFormat="1" applyFont="1" applyFill="1" applyBorder="1" applyAlignment="1">
      <alignment horizontal="center" vertical="center" wrapText="1"/>
    </xf>
    <xf numFmtId="0" fontId="0" fillId="0" borderId="1" xfId="0" applyFill="1" applyBorder="1" applyAlignment="1">
      <alignment horizontal="center" wrapText="1"/>
    </xf>
    <xf numFmtId="0" fontId="0" fillId="0" borderId="1" xfId="0" applyFill="1" applyBorder="1" applyAlignment="1">
      <alignment horizontal="right"/>
    </xf>
    <xf numFmtId="0" fontId="8" fillId="7" borderId="5" xfId="0" applyFont="1" applyFill="1" applyBorder="1" applyAlignment="1">
      <alignment horizontal="right" vertical="center"/>
    </xf>
    <xf numFmtId="0" fontId="8" fillId="7" borderId="6" xfId="0" applyFont="1" applyFill="1" applyBorder="1" applyAlignment="1">
      <alignment horizontal="right" vertical="center"/>
    </xf>
    <xf numFmtId="0" fontId="8" fillId="0" borderId="5" xfId="0" applyFont="1" applyFill="1" applyBorder="1" applyAlignment="1">
      <alignment horizontal="right" vertical="center"/>
    </xf>
    <xf numFmtId="0" fontId="8" fillId="0" borderId="7" xfId="0" applyFont="1" applyFill="1" applyBorder="1" applyAlignment="1">
      <alignment horizontal="right" vertical="center"/>
    </xf>
    <xf numFmtId="0" fontId="8" fillId="0" borderId="6" xfId="0" applyFont="1" applyFill="1" applyBorder="1" applyAlignment="1">
      <alignment horizontal="right" vertical="center"/>
    </xf>
    <xf numFmtId="0" fontId="9" fillId="0" borderId="1" xfId="0" applyFont="1" applyFill="1" applyBorder="1" applyAlignment="1">
      <alignment horizontal="center"/>
    </xf>
    <xf numFmtId="0" fontId="8" fillId="0" borderId="0" xfId="0" applyFont="1" applyFill="1" applyAlignment="1">
      <alignment horizontal="center"/>
    </xf>
    <xf numFmtId="14" fontId="0" fillId="0" borderId="5" xfId="0" applyNumberFormat="1" applyFill="1" applyBorder="1" applyAlignment="1">
      <alignment horizontal="right" vertical="center"/>
    </xf>
    <xf numFmtId="14" fontId="0" fillId="0" borderId="6" xfId="0" applyNumberFormat="1" applyFill="1" applyBorder="1" applyAlignment="1">
      <alignment horizontal="right" vertical="center"/>
    </xf>
    <xf numFmtId="0" fontId="0" fillId="0" borderId="0" xfId="0" applyFill="1" applyBorder="1" applyAlignment="1">
      <alignment horizontal="left"/>
    </xf>
    <xf numFmtId="0" fontId="0" fillId="0" borderId="1" xfId="0" applyFill="1" applyBorder="1" applyAlignment="1">
      <alignment horizontal="left"/>
    </xf>
    <xf numFmtId="0" fontId="27" fillId="0" borderId="1" xfId="0" applyFont="1" applyFill="1" applyBorder="1" applyAlignment="1">
      <alignment horizontal="center" wrapText="1"/>
    </xf>
    <xf numFmtId="0" fontId="27" fillId="0" borderId="1" xfId="0" applyFont="1" applyFill="1" applyBorder="1" applyAlignment="1">
      <alignment horizontal="center"/>
    </xf>
    <xf numFmtId="0" fontId="0" fillId="0" borderId="0" xfId="0" applyAlignment="1">
      <alignment horizontal="left" wrapText="1"/>
    </xf>
    <xf numFmtId="0" fontId="0" fillId="0" borderId="0" xfId="0" applyAlignment="1">
      <alignment horizontal="center"/>
    </xf>
    <xf numFmtId="0" fontId="0" fillId="0" borderId="0" xfId="0" applyAlignment="1">
      <alignment horizontal="center" wrapText="1"/>
    </xf>
    <xf numFmtId="0" fontId="9" fillId="0" borderId="3" xfId="23" applyFont="1" applyFill="1" applyBorder="1" applyAlignment="1">
      <alignment horizontal="center"/>
    </xf>
    <xf numFmtId="0" fontId="9" fillId="0" borderId="8" xfId="23" applyFont="1" applyFill="1" applyBorder="1" applyAlignment="1">
      <alignment horizontal="left"/>
    </xf>
    <xf numFmtId="0" fontId="9" fillId="0" borderId="10" xfId="23" applyFont="1" applyFill="1" applyBorder="1" applyAlignment="1">
      <alignment horizontal="left"/>
    </xf>
    <xf numFmtId="0" fontId="9" fillId="0" borderId="9" xfId="23" applyFont="1" applyFill="1" applyBorder="1" applyAlignment="1">
      <alignment horizontal="left"/>
    </xf>
    <xf numFmtId="1" fontId="11" fillId="0" borderId="5" xfId="23" applyNumberFormat="1" applyFont="1" applyBorder="1" applyAlignment="1">
      <alignment horizontal="center" wrapText="1"/>
    </xf>
    <xf numFmtId="1" fontId="11" fillId="0" borderId="7" xfId="23" applyNumberFormat="1" applyFont="1" applyBorder="1" applyAlignment="1">
      <alignment horizontal="center" wrapText="1"/>
    </xf>
    <xf numFmtId="1" fontId="11" fillId="0" borderId="6" xfId="23" applyNumberFormat="1" applyFont="1" applyBorder="1" applyAlignment="1">
      <alignment horizontal="center" wrapText="1"/>
    </xf>
    <xf numFmtId="1" fontId="11" fillId="0" borderId="5" xfId="23" applyNumberFormat="1" applyFont="1" applyFill="1" applyBorder="1" applyAlignment="1">
      <alignment horizontal="center" wrapText="1"/>
    </xf>
    <xf numFmtId="1" fontId="11" fillId="0" borderId="7" xfId="23" applyNumberFormat="1" applyFont="1" applyFill="1" applyBorder="1" applyAlignment="1">
      <alignment horizontal="center" wrapText="1"/>
    </xf>
    <xf numFmtId="1" fontId="11" fillId="0" borderId="6" xfId="23" applyNumberFormat="1" applyFont="1" applyFill="1" applyBorder="1" applyAlignment="1">
      <alignment horizontal="center" wrapText="1"/>
    </xf>
    <xf numFmtId="1" fontId="11" fillId="0" borderId="5" xfId="23" applyNumberFormat="1" applyFont="1" applyFill="1" applyBorder="1" applyAlignment="1">
      <alignment horizontal="center" vertical="center"/>
    </xf>
    <xf numFmtId="1" fontId="11" fillId="0" borderId="7" xfId="23" applyNumberFormat="1" applyFont="1" applyFill="1" applyBorder="1" applyAlignment="1">
      <alignment horizontal="center" vertical="center"/>
    </xf>
    <xf numFmtId="1" fontId="11" fillId="0" borderId="6" xfId="23" applyNumberFormat="1" applyFont="1" applyFill="1" applyBorder="1" applyAlignment="1">
      <alignment horizontal="center" vertical="center"/>
    </xf>
    <xf numFmtId="0" fontId="6" fillId="0" borderId="8" xfId="1" applyFont="1" applyFill="1" applyBorder="1" applyAlignment="1">
      <alignment horizontal="center" wrapText="1"/>
    </xf>
    <xf numFmtId="0" fontId="6" fillId="0" borderId="10" xfId="1" applyFont="1" applyFill="1" applyBorder="1" applyAlignment="1">
      <alignment horizontal="center" wrapText="1"/>
    </xf>
    <xf numFmtId="0" fontId="6" fillId="0" borderId="9" xfId="1" applyFont="1" applyFill="1" applyBorder="1" applyAlignment="1">
      <alignment horizontal="center" wrapText="1"/>
    </xf>
    <xf numFmtId="0" fontId="11" fillId="0" borderId="3" xfId="1" applyFont="1" applyFill="1" applyBorder="1" applyAlignment="1">
      <alignment horizontal="center"/>
    </xf>
    <xf numFmtId="1" fontId="11" fillId="0" borderId="5" xfId="1" applyNumberFormat="1" applyFont="1" applyFill="1" applyBorder="1" applyAlignment="1">
      <alignment horizontal="center" vertical="center" wrapText="1"/>
    </xf>
    <xf numFmtId="1" fontId="11" fillId="0" borderId="6" xfId="1" applyNumberFormat="1" applyFont="1" applyFill="1" applyBorder="1" applyAlignment="1">
      <alignment horizontal="center" vertical="center" wrapText="1"/>
    </xf>
    <xf numFmtId="1" fontId="11" fillId="0" borderId="5" xfId="1" applyNumberFormat="1" applyFont="1" applyBorder="1" applyAlignment="1">
      <alignment horizontal="center" wrapText="1"/>
    </xf>
    <xf numFmtId="1" fontId="11" fillId="0" borderId="6" xfId="1" applyNumberFormat="1" applyFont="1" applyBorder="1" applyAlignment="1">
      <alignment horizontal="center" wrapText="1"/>
    </xf>
    <xf numFmtId="1" fontId="11" fillId="0" borderId="5" xfId="1" applyNumberFormat="1" applyFont="1" applyFill="1" applyBorder="1" applyAlignment="1">
      <alignment horizontal="center" vertical="center"/>
    </xf>
    <xf numFmtId="1" fontId="11" fillId="0" borderId="7" xfId="1" applyNumberFormat="1" applyFont="1" applyFill="1" applyBorder="1" applyAlignment="1">
      <alignment horizontal="center" vertical="center"/>
    </xf>
    <xf numFmtId="0" fontId="9" fillId="0" borderId="3" xfId="1" applyFont="1" applyFill="1" applyBorder="1" applyAlignment="1">
      <alignment horizontal="center"/>
    </xf>
    <xf numFmtId="0" fontId="9" fillId="4" borderId="3" xfId="0" applyFont="1" applyFill="1" applyBorder="1" applyAlignment="1">
      <alignment horizontal="center" wrapText="1"/>
    </xf>
    <xf numFmtId="0" fontId="9" fillId="4" borderId="14" xfId="0" applyFont="1" applyFill="1" applyBorder="1" applyAlignment="1">
      <alignment horizontal="center" wrapText="1"/>
    </xf>
    <xf numFmtId="0" fontId="9" fillId="4" borderId="15" xfId="0" applyFont="1" applyFill="1" applyBorder="1" applyAlignment="1">
      <alignment horizontal="center" wrapText="1"/>
    </xf>
    <xf numFmtId="0" fontId="9" fillId="4" borderId="16" xfId="0" applyFont="1" applyFill="1" applyBorder="1" applyAlignment="1">
      <alignment horizontal="center" wrapText="1"/>
    </xf>
    <xf numFmtId="0" fontId="9" fillId="4" borderId="9" xfId="0" applyFont="1" applyFill="1" applyBorder="1" applyAlignment="1">
      <alignment horizontal="center" wrapText="1"/>
    </xf>
    <xf numFmtId="1" fontId="18" fillId="0" borderId="8" xfId="0" applyNumberFormat="1" applyFont="1" applyBorder="1" applyAlignment="1">
      <alignment horizontal="center" wrapText="1"/>
    </xf>
    <xf numFmtId="0" fontId="0" fillId="0" borderId="24" xfId="0" applyBorder="1" applyAlignment="1">
      <alignment horizontal="center" wrapText="1"/>
    </xf>
    <xf numFmtId="0" fontId="0" fillId="0" borderId="0" xfId="0" applyBorder="1" applyAlignment="1">
      <alignment horizontal="center" wrapText="1"/>
    </xf>
    <xf numFmtId="0" fontId="0" fillId="0" borderId="21" xfId="0" applyBorder="1" applyAlignment="1">
      <alignment horizontal="center" wrapText="1"/>
    </xf>
    <xf numFmtId="0" fontId="0" fillId="0" borderId="1" xfId="0" applyBorder="1" applyAlignment="1">
      <alignment horizontal="center" wrapText="1"/>
    </xf>
    <xf numFmtId="0" fontId="9" fillId="4" borderId="14" xfId="0" applyFont="1" applyFill="1" applyBorder="1" applyAlignment="1">
      <alignment horizontal="center"/>
    </xf>
    <xf numFmtId="0" fontId="9" fillId="4" borderId="15" xfId="0" applyFont="1" applyFill="1" applyBorder="1" applyAlignment="1">
      <alignment horizontal="center"/>
    </xf>
    <xf numFmtId="0" fontId="9" fillId="4" borderId="16" xfId="0" applyFont="1" applyFill="1" applyBorder="1" applyAlignment="1">
      <alignment horizontal="center"/>
    </xf>
    <xf numFmtId="0" fontId="9" fillId="4" borderId="11" xfId="0" applyFont="1" applyFill="1" applyBorder="1" applyAlignment="1">
      <alignment horizontal="center"/>
    </xf>
    <xf numFmtId="0" fontId="9" fillId="4" borderId="3" xfId="0" applyFont="1" applyFill="1" applyBorder="1" applyAlignment="1">
      <alignment horizontal="center"/>
    </xf>
    <xf numFmtId="0" fontId="9" fillId="4" borderId="17" xfId="0" applyFont="1" applyFill="1" applyBorder="1" applyAlignment="1">
      <alignment horizontal="center"/>
    </xf>
    <xf numFmtId="0" fontId="0" fillId="0" borderId="9" xfId="0" applyBorder="1" applyAlignment="1">
      <alignment horizontal="center"/>
    </xf>
    <xf numFmtId="0" fontId="0" fillId="0" borderId="3" xfId="0" applyBorder="1" applyAlignment="1">
      <alignment horizontal="center"/>
    </xf>
    <xf numFmtId="0" fontId="9" fillId="4" borderId="8" xfId="0" applyFont="1" applyFill="1" applyBorder="1" applyAlignment="1">
      <alignment horizontal="center" wrapText="1"/>
    </xf>
    <xf numFmtId="0" fontId="9" fillId="4" borderId="5" xfId="0" applyFont="1" applyFill="1" applyBorder="1" applyAlignment="1">
      <alignment horizontal="center" wrapText="1"/>
    </xf>
    <xf numFmtId="1" fontId="18" fillId="0" borderId="19" xfId="0" applyNumberFormat="1" applyFont="1" applyBorder="1" applyAlignment="1">
      <alignment horizontal="center" wrapText="1"/>
    </xf>
    <xf numFmtId="0" fontId="18" fillId="0" borderId="24" xfId="0" applyFont="1" applyBorder="1" applyAlignment="1">
      <alignment horizontal="center" wrapText="1"/>
    </xf>
    <xf numFmtId="0" fontId="18" fillId="0" borderId="21" xfId="0" applyFont="1" applyBorder="1" applyAlignment="1">
      <alignment horizontal="center" wrapText="1"/>
    </xf>
    <xf numFmtId="0" fontId="0" fillId="11" borderId="21" xfId="0" applyFill="1" applyBorder="1" applyAlignment="1">
      <alignment horizontal="center"/>
    </xf>
    <xf numFmtId="0" fontId="0" fillId="11" borderId="1" xfId="0" applyFill="1" applyBorder="1" applyAlignment="1">
      <alignment horizontal="center"/>
    </xf>
    <xf numFmtId="0" fontId="0" fillId="0" borderId="0" xfId="0" applyFont="1" applyAlignment="1">
      <alignment horizontal="left" wrapText="1"/>
    </xf>
    <xf numFmtId="0" fontId="0" fillId="0" borderId="0" xfId="0" applyFont="1" applyAlignment="1">
      <alignment horizontal="center"/>
    </xf>
    <xf numFmtId="0" fontId="6" fillId="0" borderId="0" xfId="0" applyFont="1" applyAlignment="1">
      <alignment horizontal="center" wrapText="1"/>
    </xf>
    <xf numFmtId="0" fontId="13" fillId="7" borderId="5"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6" fillId="0" borderId="0" xfId="0" applyFont="1" applyAlignment="1">
      <alignment horizontal="center"/>
    </xf>
    <xf numFmtId="0" fontId="8" fillId="0" borderId="3" xfId="0" applyFont="1" applyBorder="1" applyAlignment="1">
      <alignment horizontal="center"/>
    </xf>
    <xf numFmtId="0" fontId="8" fillId="0" borderId="3" xfId="0" applyFont="1" applyFill="1" applyBorder="1" applyAlignment="1">
      <alignment horizontal="center" wrapText="1"/>
    </xf>
    <xf numFmtId="0" fontId="0" fillId="0" borderId="3" xfId="0" applyBorder="1" applyAlignment="1">
      <alignment horizontal="center" wrapText="1"/>
    </xf>
    <xf numFmtId="0" fontId="0" fillId="0" borderId="19" xfId="0" applyFill="1" applyBorder="1" applyAlignment="1">
      <alignment horizontal="center"/>
    </xf>
    <xf numFmtId="0" fontId="0" fillId="0" borderId="20" xfId="0" applyFill="1" applyBorder="1" applyAlignment="1">
      <alignment horizontal="center"/>
    </xf>
    <xf numFmtId="0" fontId="0" fillId="0" borderId="24" xfId="0" applyFill="1" applyBorder="1" applyAlignment="1">
      <alignment horizontal="center"/>
    </xf>
    <xf numFmtId="0" fontId="0" fillId="0" borderId="0" xfId="0" applyFill="1" applyBorder="1" applyAlignment="1">
      <alignment horizontal="center"/>
    </xf>
    <xf numFmtId="0" fontId="0" fillId="0" borderId="4" xfId="0" applyFill="1" applyBorder="1" applyAlignment="1">
      <alignment horizontal="center"/>
    </xf>
    <xf numFmtId="0" fontId="0" fillId="0" borderId="21" xfId="0" applyFill="1" applyBorder="1" applyAlignment="1">
      <alignment horizontal="center"/>
    </xf>
    <xf numFmtId="0" fontId="0" fillId="0" borderId="22" xfId="0" applyFill="1" applyBorder="1" applyAlignment="1">
      <alignment horizontal="center"/>
    </xf>
    <xf numFmtId="0" fontId="0" fillId="0" borderId="8" xfId="0" applyBorder="1" applyAlignment="1">
      <alignment horizontal="left"/>
    </xf>
    <xf numFmtId="0" fontId="0" fillId="0" borderId="10" xfId="0" applyBorder="1" applyAlignment="1">
      <alignment horizontal="left"/>
    </xf>
    <xf numFmtId="0" fontId="0" fillId="0" borderId="9" xfId="0" applyBorder="1" applyAlignment="1">
      <alignment horizontal="left"/>
    </xf>
    <xf numFmtId="0" fontId="0" fillId="0" borderId="19" xfId="0" applyFill="1" applyBorder="1" applyAlignment="1">
      <alignment horizontal="center" wrapText="1"/>
    </xf>
    <xf numFmtId="0" fontId="0" fillId="0" borderId="2" xfId="0" applyFill="1" applyBorder="1" applyAlignment="1">
      <alignment horizontal="center" wrapText="1"/>
    </xf>
    <xf numFmtId="0" fontId="0" fillId="0" borderId="20" xfId="0" applyFill="1" applyBorder="1" applyAlignment="1">
      <alignment horizontal="center" wrapText="1"/>
    </xf>
    <xf numFmtId="0" fontId="0" fillId="0" borderId="21" xfId="0" applyFill="1" applyBorder="1" applyAlignment="1">
      <alignment horizontal="center" wrapText="1"/>
    </xf>
    <xf numFmtId="0" fontId="0" fillId="0" borderId="22" xfId="0" applyFill="1" applyBorder="1" applyAlignment="1">
      <alignment horizontal="center" wrapText="1"/>
    </xf>
    <xf numFmtId="0" fontId="0" fillId="0" borderId="8" xfId="0" applyFill="1" applyBorder="1" applyAlignment="1">
      <alignment horizontal="center" wrapText="1"/>
    </xf>
    <xf numFmtId="0" fontId="0" fillId="0" borderId="10" xfId="0" applyFill="1" applyBorder="1" applyAlignment="1">
      <alignment horizontal="center" wrapText="1"/>
    </xf>
    <xf numFmtId="0" fontId="0" fillId="0" borderId="9" xfId="0" applyFill="1" applyBorder="1" applyAlignment="1">
      <alignment horizontal="center" wrapText="1"/>
    </xf>
    <xf numFmtId="0" fontId="8" fillId="0" borderId="3" xfId="0" applyFont="1" applyBorder="1" applyAlignment="1">
      <alignment horizontal="left" wrapText="1"/>
    </xf>
    <xf numFmtId="0" fontId="77" fillId="0" borderId="3" xfId="0" applyFont="1" applyBorder="1" applyAlignment="1">
      <alignment horizontal="left" wrapText="1"/>
    </xf>
    <xf numFmtId="0" fontId="77" fillId="0" borderId="8" xfId="0" applyFont="1" applyBorder="1" applyAlignment="1">
      <alignment horizontal="left"/>
    </xf>
    <xf numFmtId="0" fontId="77" fillId="0" borderId="9" xfId="0" applyFont="1" applyBorder="1" applyAlignment="1">
      <alignment horizontal="left"/>
    </xf>
    <xf numFmtId="0" fontId="36" fillId="0" borderId="5" xfId="6" applyFont="1" applyFill="1" applyBorder="1" applyAlignment="1">
      <alignment horizontal="center" vertical="center" wrapText="1"/>
    </xf>
    <xf numFmtId="0" fontId="36" fillId="0" borderId="7" xfId="6" applyFont="1" applyFill="1" applyBorder="1" applyAlignment="1">
      <alignment horizontal="center" vertical="center" wrapText="1"/>
    </xf>
    <xf numFmtId="0" fontId="36" fillId="0" borderId="6" xfId="6" applyFont="1" applyFill="1" applyBorder="1" applyAlignment="1">
      <alignment horizontal="center" vertical="center" wrapText="1"/>
    </xf>
    <xf numFmtId="0" fontId="7" fillId="0" borderId="0" xfId="6" applyFont="1" applyFill="1" applyBorder="1" applyAlignment="1">
      <alignment horizontal="center" wrapText="1"/>
    </xf>
    <xf numFmtId="0" fontId="35" fillId="0" borderId="0" xfId="0" applyFont="1" applyFill="1" applyAlignment="1">
      <alignment horizontal="center" wrapText="1"/>
    </xf>
    <xf numFmtId="0" fontId="35" fillId="0" borderId="0" xfId="6" applyFont="1" applyFill="1" applyBorder="1" applyAlignment="1">
      <alignment horizontal="center"/>
    </xf>
    <xf numFmtId="0" fontId="35" fillId="0" borderId="3" xfId="6" applyFont="1" applyFill="1" applyBorder="1" applyAlignment="1">
      <alignment horizontal="center" vertical="center" wrapText="1"/>
    </xf>
    <xf numFmtId="0" fontId="35" fillId="0" borderId="8" xfId="6" applyFont="1" applyFill="1" applyBorder="1" applyAlignment="1">
      <alignment horizontal="center" vertical="center" wrapText="1"/>
    </xf>
    <xf numFmtId="0" fontId="35" fillId="0" borderId="5" xfId="6" applyFont="1" applyFill="1" applyBorder="1" applyAlignment="1">
      <alignment horizontal="center" vertical="center" wrapText="1"/>
    </xf>
    <xf numFmtId="0" fontId="35" fillId="0" borderId="7" xfId="6" applyFont="1" applyFill="1" applyBorder="1" applyAlignment="1">
      <alignment horizontal="center" vertical="center" wrapText="1"/>
    </xf>
    <xf numFmtId="0" fontId="35" fillId="0" borderId="6" xfId="6" applyFont="1" applyFill="1" applyBorder="1" applyAlignment="1">
      <alignment horizontal="center" vertical="center" wrapText="1"/>
    </xf>
    <xf numFmtId="0" fontId="35" fillId="0" borderId="9" xfId="6" applyFont="1" applyFill="1" applyBorder="1" applyAlignment="1">
      <alignment horizontal="center" vertical="center" wrapText="1"/>
    </xf>
    <xf numFmtId="0" fontId="35" fillId="0" borderId="8" xfId="1" applyFont="1" applyFill="1" applyBorder="1" applyAlignment="1">
      <alignment horizontal="left"/>
    </xf>
    <xf numFmtId="0" fontId="35" fillId="0" borderId="10" xfId="1" applyFont="1" applyFill="1" applyBorder="1" applyAlignment="1">
      <alignment horizontal="left"/>
    </xf>
    <xf numFmtId="0" fontId="35" fillId="0" borderId="9" xfId="1" applyFont="1" applyFill="1" applyBorder="1" applyAlignment="1">
      <alignment horizontal="left"/>
    </xf>
    <xf numFmtId="4" fontId="12" fillId="15" borderId="5" xfId="3" applyNumberFormat="1" applyFont="1" applyFill="1" applyBorder="1" applyAlignment="1">
      <alignment horizontal="right" wrapText="1"/>
    </xf>
    <xf numFmtId="4" fontId="13" fillId="15" borderId="3" xfId="1" applyNumberFormat="1" applyFont="1" applyFill="1" applyBorder="1" applyAlignment="1">
      <alignment horizontal="right"/>
    </xf>
    <xf numFmtId="4" fontId="13" fillId="15" borderId="5" xfId="3" applyNumberFormat="1" applyFont="1" applyFill="1" applyBorder="1" applyAlignment="1">
      <alignment horizontal="right" wrapText="1"/>
    </xf>
  </cellXfs>
  <cellStyles count="25">
    <cellStyle name="Обычный" xfId="0" builtinId="0"/>
    <cellStyle name="Обычный 2" xfId="1"/>
    <cellStyle name="Обычный 2 2" xfId="4"/>
    <cellStyle name="Обычный 2 2 2" xfId="15"/>
    <cellStyle name="Обычный 2 3" xfId="5"/>
    <cellStyle name="Обычный 2 4" xfId="2"/>
    <cellStyle name="Обычный 2 4 2" xfId="20"/>
    <cellStyle name="Обычный 2 4 3" xfId="22"/>
    <cellStyle name="Обычный 2 4 4" xfId="24"/>
    <cellStyle name="Обычный 2 5" xfId="17"/>
    <cellStyle name="Обычный 2 5 2" xfId="19"/>
    <cellStyle name="Обычный 2 6" xfId="21"/>
    <cellStyle name="Обычный 2 7" xfId="23"/>
    <cellStyle name="Обычный 3" xfId="3"/>
    <cellStyle name="Обычный 3 3 12" xfId="18"/>
    <cellStyle name="Обычный 4" xfId="6"/>
    <cellStyle name="Обычный 5" xfId="7"/>
    <cellStyle name="Обычный 7 2" xfId="8"/>
    <cellStyle name="Обычный 7 3" xfId="9"/>
    <cellStyle name="Плохой 2" xfId="16"/>
    <cellStyle name="Процентный 2" xfId="10"/>
    <cellStyle name="Процентный 2 2" xfId="11"/>
    <cellStyle name="Процентный 3" xfId="12"/>
    <cellStyle name="Процентный 4" xfId="13"/>
    <cellStyle name="Финансовый 2" xfId="14"/>
  </cellStyles>
  <dxfs count="0"/>
  <tableStyles count="0" defaultTableStyle="TableStyleMedium2" defaultPivotStyle="PivotStyleLight16"/>
  <colors>
    <mruColors>
      <color rgb="FFCCFFFF"/>
      <color rgb="FFD9D9FF"/>
      <color rgb="FF9999FF"/>
      <color rgb="FFFFFFCC"/>
      <color rgb="FFCCFFCC"/>
      <color rgb="FF0000CC"/>
      <color rgb="FFCCECFF"/>
      <color rgb="FFA50021"/>
      <color rgb="FF66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2;&#1040;&#1044;&#1054;&#1059;%20226/!!,,2024%20&#1075;&#1086;&#1076;/&#1055;&#1060;&#1061;&#1044;%202024/&#1096;&#1082;%2020/&#1055;&#1060;&#1061;&#1044;%202023%20(100%20&#1096;&#1082;&#1086;&#1083;&#1072;)/28.%20&#1055;&#1060;&#1061;&#1044;%202023%20&#1096;&#1082;&#1086;&#1083;&#1072;%20100%20&#1085;&#1072;%2015.12.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Форма"/>
      <sheetName val="Утверждено (МЗ,ИЦ,КАП)"/>
      <sheetName val="Закупки"/>
      <sheetName val="таблица к разделу 2"/>
    </sheetNames>
    <sheetDataSet>
      <sheetData sheetId="0">
        <row r="42">
          <cell r="B42" t="str">
            <v>"Общеобразовательная школа психолого-педагогической поддержки с осуществлением иедицинской реабилитации детей с нарушением опорно-двигательного аппарата №100"</v>
          </cell>
        </row>
        <row r="171">
          <cell r="F171" t="str">
            <v>на 2023 г. текущий финансовый год</v>
          </cell>
          <cell r="G171" t="str">
            <v>на 2024 г. первый год планового периода</v>
          </cell>
          <cell r="H171" t="str">
            <v>на 2025 г. второй год планового периода</v>
          </cell>
        </row>
      </sheetData>
      <sheetData sheetId="1">
        <row r="2">
          <cell r="A2" t="str">
            <v>Муниципальное бюджетное образовательное учреждение "Общеобразовательная школа психолого-педагогической поддержки с осуществлением медицинской реабилитации детей с нарушением опорно-двигательного аппарата №100"</v>
          </cell>
        </row>
        <row r="6">
          <cell r="A6" t="str">
            <v>911 0702 09100 29140 611 241</v>
          </cell>
        </row>
        <row r="102">
          <cell r="A102" t="str">
            <v>911 0702 23000 29140 611 241</v>
          </cell>
        </row>
        <row r="109">
          <cell r="A109" t="str">
            <v>911 0702 21000 29140 611 241</v>
          </cell>
        </row>
        <row r="115">
          <cell r="A115" t="str">
            <v>911 0702 09100 71830 611 241</v>
          </cell>
        </row>
        <row r="161">
          <cell r="A161" t="str">
            <v>911 0702 091000 71830 611 241</v>
          </cell>
        </row>
      </sheetData>
      <sheetData sheetId="2"/>
      <sheetData sheetId="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1:N257"/>
  <sheetViews>
    <sheetView view="pageBreakPreview" zoomScale="90" zoomScaleNormal="90" zoomScaleSheetLayoutView="90" workbookViewId="0">
      <pane xSplit="1" ySplit="1" topLeftCell="B2" activePane="bottomRight" state="frozen"/>
      <selection activeCell="B169" sqref="B169:I169"/>
      <selection pane="topRight" activeCell="B169" sqref="B169:I169"/>
      <selection pane="bottomLeft" activeCell="B169" sqref="B169:I169"/>
      <selection pane="bottomRight" activeCell="C146" sqref="C146"/>
    </sheetView>
  </sheetViews>
  <sheetFormatPr defaultRowHeight="13.8" x14ac:dyDescent="0.25"/>
  <cols>
    <col min="1" max="1" width="6.6640625" style="1" customWidth="1"/>
    <col min="2" max="2" width="45.88671875" style="2" customWidth="1"/>
    <col min="3" max="3" width="9.109375" style="1"/>
    <col min="4" max="4" width="13.33203125" style="1" customWidth="1"/>
    <col min="5" max="5" width="10.88671875" style="1" customWidth="1"/>
    <col min="6" max="8" width="13.6640625" style="1" bestFit="1" customWidth="1"/>
    <col min="9" max="9" width="11" style="1" customWidth="1"/>
    <col min="10" max="10" width="8" customWidth="1"/>
    <col min="11" max="11" width="7.109375" style="5" bestFit="1" customWidth="1"/>
    <col min="12" max="12" width="11.88671875" style="5" bestFit="1" customWidth="1"/>
    <col min="13" max="13" width="8" style="4" customWidth="1"/>
  </cols>
  <sheetData>
    <row r="1" spans="1:12" x14ac:dyDescent="0.25">
      <c r="K1" s="618"/>
      <c r="L1" s="618"/>
    </row>
    <row r="4" spans="1:12" x14ac:dyDescent="0.25">
      <c r="G4" s="846" t="s">
        <v>3</v>
      </c>
      <c r="H4" s="846"/>
      <c r="I4" s="846"/>
    </row>
    <row r="5" spans="1:12" x14ac:dyDescent="0.25">
      <c r="G5" s="847"/>
      <c r="H5" s="847"/>
      <c r="I5" s="847"/>
    </row>
    <row r="6" spans="1:12" ht="55.5" customHeight="1" x14ac:dyDescent="0.25">
      <c r="G6" s="848" t="s">
        <v>910</v>
      </c>
      <c r="H6" s="848"/>
      <c r="I6" s="848"/>
    </row>
    <row r="7" spans="1:12" x14ac:dyDescent="0.25">
      <c r="G7" s="615"/>
      <c r="H7" s="615"/>
      <c r="I7" s="615"/>
    </row>
    <row r="8" spans="1:12" x14ac:dyDescent="0.25">
      <c r="G8" s="847"/>
      <c r="H8" s="847"/>
      <c r="I8" s="847"/>
    </row>
    <row r="9" spans="1:12" x14ac:dyDescent="0.25">
      <c r="G9" s="849" t="s">
        <v>912</v>
      </c>
      <c r="H9" s="849"/>
      <c r="I9" s="849"/>
    </row>
    <row r="10" spans="1:12" x14ac:dyDescent="0.25">
      <c r="G10" s="617"/>
      <c r="H10" s="617"/>
      <c r="I10" s="617"/>
    </row>
    <row r="11" spans="1:12" x14ac:dyDescent="0.25">
      <c r="G11" s="846" t="s">
        <v>13</v>
      </c>
      <c r="H11" s="846"/>
      <c r="I11" s="6"/>
    </row>
    <row r="12" spans="1:12" x14ac:dyDescent="0.25">
      <c r="G12" s="616"/>
      <c r="H12" s="616"/>
      <c r="I12" s="6"/>
    </row>
    <row r="13" spans="1:12" x14ac:dyDescent="0.25">
      <c r="B13" s="6"/>
      <c r="C13" s="6"/>
      <c r="G13" s="846" t="s">
        <v>6</v>
      </c>
      <c r="H13" s="846"/>
      <c r="I13" s="846"/>
    </row>
    <row r="14" spans="1:12" x14ac:dyDescent="0.25">
      <c r="A14" s="8"/>
      <c r="B14" s="6"/>
      <c r="C14" s="9"/>
      <c r="G14" s="847"/>
      <c r="H14" s="847"/>
      <c r="I14" s="847"/>
    </row>
    <row r="15" spans="1:12" ht="32.25" customHeight="1" x14ac:dyDescent="0.25">
      <c r="A15" s="8"/>
      <c r="B15" s="6"/>
      <c r="C15" s="10"/>
      <c r="G15" s="850" t="s">
        <v>911</v>
      </c>
      <c r="H15" s="850"/>
      <c r="I15" s="850"/>
      <c r="J15" s="11"/>
      <c r="K15" s="12"/>
      <c r="L15" s="12"/>
    </row>
    <row r="16" spans="1:12" x14ac:dyDescent="0.25">
      <c r="A16" s="8"/>
      <c r="B16" s="6"/>
      <c r="C16" s="10"/>
      <c r="G16" s="615"/>
      <c r="H16" s="615"/>
      <c r="I16" s="615"/>
      <c r="J16" s="11"/>
      <c r="K16" s="12"/>
      <c r="L16" s="12"/>
    </row>
    <row r="17" spans="1:11" x14ac:dyDescent="0.25">
      <c r="A17" s="8"/>
      <c r="B17" s="6"/>
      <c r="G17" s="847"/>
      <c r="H17" s="847"/>
      <c r="I17" s="847"/>
    </row>
    <row r="18" spans="1:11" x14ac:dyDescent="0.25">
      <c r="B18" s="6"/>
      <c r="C18" s="13"/>
      <c r="G18" s="851" t="s">
        <v>913</v>
      </c>
      <c r="H18" s="851"/>
      <c r="I18" s="851"/>
    </row>
    <row r="19" spans="1:11" x14ac:dyDescent="0.25">
      <c r="B19" s="6"/>
      <c r="C19" s="13"/>
      <c r="G19" s="617"/>
      <c r="H19" s="617"/>
      <c r="I19" s="617"/>
    </row>
    <row r="20" spans="1:11" x14ac:dyDescent="0.25">
      <c r="B20" s="6"/>
      <c r="G20" s="846" t="s">
        <v>13</v>
      </c>
      <c r="H20" s="846"/>
    </row>
    <row r="21" spans="1:11" x14ac:dyDescent="0.25">
      <c r="G21" s="6"/>
      <c r="H21" s="6"/>
      <c r="I21" s="6"/>
    </row>
    <row r="22" spans="1:11" x14ac:dyDescent="0.25">
      <c r="G22" s="616"/>
      <c r="H22" s="616"/>
      <c r="I22" s="616"/>
    </row>
    <row r="23" spans="1:11" x14ac:dyDescent="0.25">
      <c r="G23" s="616"/>
      <c r="H23" s="616"/>
      <c r="I23" s="616"/>
    </row>
    <row r="24" spans="1:11" ht="15.75" customHeight="1" x14ac:dyDescent="0.3">
      <c r="C24" s="14"/>
      <c r="D24" s="14"/>
      <c r="E24" s="14"/>
      <c r="F24" s="14"/>
      <c r="G24" s="14"/>
      <c r="H24" s="14"/>
      <c r="I24" s="14"/>
    </row>
    <row r="25" spans="1:11" ht="15.75" customHeight="1" x14ac:dyDescent="0.3">
      <c r="C25" s="14"/>
      <c r="D25" s="14"/>
      <c r="E25" s="14"/>
      <c r="F25" s="14"/>
      <c r="G25" s="14"/>
      <c r="H25" s="14"/>
      <c r="I25" s="14"/>
    </row>
    <row r="26" spans="1:11" ht="15.6" x14ac:dyDescent="0.3">
      <c r="B26" s="852" t="s">
        <v>892</v>
      </c>
      <c r="C26" s="852"/>
      <c r="D26" s="852"/>
      <c r="E26" s="852"/>
      <c r="F26" s="852"/>
      <c r="G26" s="852"/>
      <c r="H26" s="852"/>
      <c r="I26" s="852"/>
    </row>
    <row r="27" spans="1:11" ht="15.6" x14ac:dyDescent="0.3">
      <c r="B27" s="852" t="s">
        <v>938</v>
      </c>
      <c r="C27" s="852"/>
      <c r="D27" s="852"/>
      <c r="E27" s="852"/>
      <c r="F27" s="852"/>
      <c r="G27" s="852"/>
      <c r="H27" s="852"/>
      <c r="I27" s="852"/>
      <c r="K27" s="619"/>
    </row>
    <row r="28" spans="1:11" x14ac:dyDescent="0.25">
      <c r="K28"/>
    </row>
    <row r="29" spans="1:11" x14ac:dyDescent="0.25">
      <c r="K29"/>
    </row>
    <row r="30" spans="1:11" x14ac:dyDescent="0.25">
      <c r="K30"/>
    </row>
    <row r="31" spans="1:11" x14ac:dyDescent="0.25">
      <c r="I31" s="613" t="s">
        <v>10</v>
      </c>
      <c r="K31"/>
    </row>
    <row r="32" spans="1:11" x14ac:dyDescent="0.25">
      <c r="B32" s="16" t="s">
        <v>11</v>
      </c>
      <c r="C32" s="6" t="s">
        <v>939</v>
      </c>
      <c r="D32" s="6"/>
      <c r="H32" s="853" t="s">
        <v>12</v>
      </c>
      <c r="I32" s="854"/>
      <c r="K32"/>
    </row>
    <row r="33" spans="2:9" x14ac:dyDescent="0.25">
      <c r="H33" s="853"/>
      <c r="I33" s="855"/>
    </row>
    <row r="34" spans="2:9" x14ac:dyDescent="0.25">
      <c r="G34" s="856" t="s">
        <v>15</v>
      </c>
      <c r="H34" s="857"/>
      <c r="I34" s="858"/>
    </row>
    <row r="35" spans="2:9" x14ac:dyDescent="0.25">
      <c r="B35" s="2" t="s">
        <v>16</v>
      </c>
      <c r="C35" s="620"/>
      <c r="D35" s="620"/>
      <c r="E35" s="620"/>
      <c r="F35" s="620"/>
      <c r="G35" s="856"/>
      <c r="H35" s="857"/>
      <c r="I35" s="859"/>
    </row>
    <row r="36" spans="2:9" x14ac:dyDescent="0.25">
      <c r="B36" s="2" t="s">
        <v>19</v>
      </c>
      <c r="C36" s="621"/>
      <c r="D36" s="621"/>
      <c r="E36" s="621"/>
      <c r="F36" s="621"/>
      <c r="H36" s="857" t="s">
        <v>21</v>
      </c>
      <c r="I36" s="858"/>
    </row>
    <row r="37" spans="2:9" x14ac:dyDescent="0.25">
      <c r="C37" s="8"/>
      <c r="D37" s="8"/>
      <c r="E37" s="8"/>
      <c r="F37" s="8"/>
      <c r="H37" s="857"/>
      <c r="I37" s="859"/>
    </row>
    <row r="38" spans="2:9" x14ac:dyDescent="0.25">
      <c r="C38" s="8"/>
      <c r="D38" s="8"/>
      <c r="E38" s="8"/>
      <c r="F38" s="8"/>
      <c r="G38" s="856" t="s">
        <v>15</v>
      </c>
      <c r="H38" s="857"/>
      <c r="I38" s="858"/>
    </row>
    <row r="39" spans="2:9" x14ac:dyDescent="0.25">
      <c r="C39" s="8"/>
      <c r="D39" s="8"/>
      <c r="E39" s="8"/>
      <c r="F39" s="8"/>
      <c r="G39" s="856"/>
      <c r="H39" s="857"/>
      <c r="I39" s="859"/>
    </row>
    <row r="40" spans="2:9" x14ac:dyDescent="0.25">
      <c r="C40" s="8"/>
      <c r="D40" s="8"/>
      <c r="E40" s="8"/>
      <c r="F40" s="8"/>
      <c r="H40" s="857" t="s">
        <v>23</v>
      </c>
      <c r="I40" s="858"/>
    </row>
    <row r="41" spans="2:9" x14ac:dyDescent="0.25">
      <c r="C41" s="8"/>
      <c r="D41" s="8"/>
      <c r="E41" s="8"/>
      <c r="F41" s="8"/>
      <c r="H41" s="857"/>
      <c r="I41" s="859"/>
    </row>
    <row r="42" spans="2:9" x14ac:dyDescent="0.25">
      <c r="H42" s="857" t="s">
        <v>24</v>
      </c>
      <c r="I42" s="858"/>
    </row>
    <row r="43" spans="2:9" x14ac:dyDescent="0.25">
      <c r="B43" s="2" t="s">
        <v>25</v>
      </c>
      <c r="C43" s="18"/>
      <c r="D43" s="18"/>
      <c r="E43" s="18"/>
      <c r="F43" s="18"/>
      <c r="H43" s="857"/>
      <c r="I43" s="862"/>
    </row>
    <row r="44" spans="2:9" x14ac:dyDescent="0.25">
      <c r="B44" s="622"/>
      <c r="C44" s="18"/>
      <c r="D44" s="18"/>
      <c r="E44" s="18"/>
      <c r="F44" s="18"/>
      <c r="H44" s="857"/>
      <c r="I44" s="859"/>
    </row>
    <row r="45" spans="2:9" x14ac:dyDescent="0.25">
      <c r="B45" s="19"/>
      <c r="C45" s="8"/>
      <c r="D45" s="8"/>
      <c r="E45" s="8"/>
      <c r="F45" s="8"/>
      <c r="H45" s="857" t="s">
        <v>26</v>
      </c>
      <c r="I45" s="858">
        <v>383</v>
      </c>
    </row>
    <row r="46" spans="2:9" x14ac:dyDescent="0.25">
      <c r="B46" s="2" t="s">
        <v>27</v>
      </c>
      <c r="H46" s="857"/>
      <c r="I46" s="859"/>
    </row>
    <row r="47" spans="2:9" x14ac:dyDescent="0.25">
      <c r="H47" s="614"/>
      <c r="I47" s="614"/>
    </row>
    <row r="48" spans="2:9" x14ac:dyDescent="0.25">
      <c r="H48" s="614"/>
      <c r="I48" s="614"/>
    </row>
    <row r="49" spans="1:13" x14ac:dyDescent="0.25">
      <c r="H49" s="614"/>
      <c r="I49" s="614"/>
    </row>
    <row r="50" spans="1:13" x14ac:dyDescent="0.25">
      <c r="H50" s="614"/>
      <c r="I50" s="614"/>
    </row>
    <row r="51" spans="1:13" x14ac:dyDescent="0.25">
      <c r="H51" s="614"/>
      <c r="I51" s="614"/>
    </row>
    <row r="53" spans="1:13" x14ac:dyDescent="0.25">
      <c r="B53" s="863" t="s">
        <v>28</v>
      </c>
      <c r="C53" s="863"/>
      <c r="D53" s="863"/>
      <c r="E53" s="863"/>
      <c r="F53" s="863"/>
      <c r="G53" s="863"/>
      <c r="H53" s="863"/>
      <c r="I53" s="863"/>
    </row>
    <row r="54" spans="1:13" x14ac:dyDescent="0.25">
      <c r="C54" s="18"/>
      <c r="D54" s="18"/>
      <c r="E54" s="18"/>
      <c r="F54" s="18"/>
    </row>
    <row r="55" spans="1:13" ht="15" customHeight="1" x14ac:dyDescent="0.25">
      <c r="B55" s="860" t="s">
        <v>29</v>
      </c>
      <c r="C55" s="860" t="s">
        <v>30</v>
      </c>
      <c r="D55" s="860" t="s">
        <v>940</v>
      </c>
      <c r="E55" s="860" t="s">
        <v>941</v>
      </c>
      <c r="F55" s="861" t="s">
        <v>33</v>
      </c>
      <c r="G55" s="861"/>
      <c r="H55" s="861"/>
      <c r="I55" s="861"/>
    </row>
    <row r="56" spans="1:13" ht="69.75" customHeight="1" x14ac:dyDescent="0.25">
      <c r="B56" s="860"/>
      <c r="C56" s="860"/>
      <c r="D56" s="860"/>
      <c r="E56" s="860"/>
      <c r="F56" s="612" t="s">
        <v>893</v>
      </c>
      <c r="G56" s="612" t="s">
        <v>894</v>
      </c>
      <c r="H56" s="612" t="s">
        <v>895</v>
      </c>
      <c r="I56" s="612" t="s">
        <v>34</v>
      </c>
    </row>
    <row r="57" spans="1:13" x14ac:dyDescent="0.25">
      <c r="B57" s="612">
        <v>1</v>
      </c>
      <c r="C57" s="613">
        <v>2</v>
      </c>
      <c r="D57" s="613">
        <v>3</v>
      </c>
      <c r="E57" s="613">
        <v>4</v>
      </c>
      <c r="F57" s="613">
        <v>5</v>
      </c>
      <c r="G57" s="613">
        <v>6</v>
      </c>
      <c r="H57" s="613">
        <v>7</v>
      </c>
      <c r="I57" s="613">
        <v>8</v>
      </c>
    </row>
    <row r="58" spans="1:13" ht="27.6" x14ac:dyDescent="0.25">
      <c r="B58" s="20" t="s">
        <v>942</v>
      </c>
      <c r="C58" s="21" t="s">
        <v>36</v>
      </c>
      <c r="D58" s="613" t="s">
        <v>37</v>
      </c>
      <c r="E58" s="613" t="s">
        <v>37</v>
      </c>
      <c r="F58" s="41"/>
      <c r="G58" s="41"/>
      <c r="H58" s="41"/>
      <c r="I58" s="41"/>
    </row>
    <row r="59" spans="1:13" ht="27.6" x14ac:dyDescent="0.25">
      <c r="B59" s="20" t="s">
        <v>943</v>
      </c>
      <c r="C59" s="21" t="s">
        <v>41</v>
      </c>
      <c r="D59" s="613" t="s">
        <v>37</v>
      </c>
      <c r="E59" s="613" t="s">
        <v>37</v>
      </c>
      <c r="F59" s="22"/>
      <c r="G59" s="22"/>
      <c r="H59" s="22"/>
      <c r="I59" s="22"/>
    </row>
    <row r="60" spans="1:13" s="28" customFormat="1" x14ac:dyDescent="0.25">
      <c r="A60" s="23"/>
      <c r="B60" s="24" t="s">
        <v>42</v>
      </c>
      <c r="C60" s="25" t="s">
        <v>43</v>
      </c>
      <c r="D60" s="26"/>
      <c r="E60" s="26"/>
      <c r="F60" s="27"/>
      <c r="G60" s="27"/>
      <c r="H60" s="27"/>
      <c r="I60" s="27"/>
      <c r="K60" s="29"/>
      <c r="L60" s="29"/>
      <c r="M60" s="623"/>
    </row>
    <row r="61" spans="1:13" ht="27.6" x14ac:dyDescent="0.25">
      <c r="B61" s="20" t="s">
        <v>44</v>
      </c>
      <c r="C61" s="21" t="s">
        <v>45</v>
      </c>
      <c r="D61" s="613">
        <v>120</v>
      </c>
      <c r="E61" s="613"/>
      <c r="F61" s="22"/>
      <c r="G61" s="22"/>
      <c r="H61" s="22"/>
      <c r="I61" s="22"/>
      <c r="K61" s="30"/>
      <c r="L61" s="30"/>
    </row>
    <row r="62" spans="1:13" ht="27.6" x14ac:dyDescent="0.25">
      <c r="B62" s="20" t="s">
        <v>47</v>
      </c>
      <c r="C62" s="21" t="s">
        <v>48</v>
      </c>
      <c r="D62" s="613">
        <v>130</v>
      </c>
      <c r="E62" s="613"/>
      <c r="F62" s="22"/>
      <c r="G62" s="22"/>
      <c r="H62" s="22"/>
      <c r="I62" s="22"/>
      <c r="K62" s="31"/>
      <c r="L62" s="32"/>
    </row>
    <row r="63" spans="1:13" ht="74.25" customHeight="1" x14ac:dyDescent="0.25">
      <c r="B63" s="20" t="s">
        <v>49</v>
      </c>
      <c r="C63" s="21" t="s">
        <v>50</v>
      </c>
      <c r="D63" s="613">
        <v>130</v>
      </c>
      <c r="E63" s="613"/>
      <c r="F63" s="22"/>
      <c r="G63" s="22"/>
      <c r="H63" s="22"/>
      <c r="I63" s="22"/>
      <c r="K63" s="32"/>
      <c r="L63" s="32"/>
    </row>
    <row r="64" spans="1:13" x14ac:dyDescent="0.25">
      <c r="B64" s="20"/>
      <c r="C64" s="21"/>
      <c r="D64" s="613"/>
      <c r="E64" s="613"/>
      <c r="F64" s="22"/>
      <c r="G64" s="22"/>
      <c r="H64" s="22"/>
      <c r="I64" s="22"/>
      <c r="K64" s="32"/>
      <c r="L64" s="32"/>
    </row>
    <row r="65" spans="1:13" ht="32.25" customHeight="1" x14ac:dyDescent="0.25">
      <c r="B65" s="20" t="s">
        <v>54</v>
      </c>
      <c r="C65" s="21" t="s">
        <v>55</v>
      </c>
      <c r="D65" s="613">
        <v>140</v>
      </c>
      <c r="E65" s="613"/>
      <c r="F65" s="41"/>
      <c r="G65" s="41"/>
      <c r="H65" s="41"/>
      <c r="I65" s="41"/>
      <c r="K65" s="32"/>
      <c r="L65" s="32"/>
    </row>
    <row r="66" spans="1:13" x14ac:dyDescent="0.25">
      <c r="B66" s="20" t="s">
        <v>58</v>
      </c>
      <c r="C66" s="21" t="s">
        <v>59</v>
      </c>
      <c r="D66" s="613">
        <v>150</v>
      </c>
      <c r="E66" s="613"/>
      <c r="F66" s="41"/>
      <c r="G66" s="41"/>
      <c r="H66" s="41"/>
      <c r="I66" s="41"/>
      <c r="K66" s="32"/>
      <c r="L66" s="32"/>
    </row>
    <row r="67" spans="1:13" ht="27.6" x14ac:dyDescent="0.25">
      <c r="B67" s="20" t="s">
        <v>914</v>
      </c>
      <c r="C67" s="21" t="s">
        <v>60</v>
      </c>
      <c r="D67" s="613">
        <v>150</v>
      </c>
      <c r="E67" s="613"/>
      <c r="F67" s="41"/>
      <c r="G67" s="41"/>
      <c r="H67" s="41"/>
      <c r="I67" s="41"/>
      <c r="K67" s="32"/>
      <c r="L67" s="32"/>
    </row>
    <row r="68" spans="1:13" ht="27.6" x14ac:dyDescent="0.25">
      <c r="B68" s="20" t="s">
        <v>66</v>
      </c>
      <c r="C68" s="21" t="s">
        <v>396</v>
      </c>
      <c r="D68" s="656">
        <v>150</v>
      </c>
      <c r="E68" s="656"/>
      <c r="F68" s="41"/>
      <c r="G68" s="41"/>
      <c r="H68" s="41"/>
      <c r="I68" s="41"/>
      <c r="K68" s="32"/>
      <c r="L68" s="32"/>
    </row>
    <row r="69" spans="1:13" x14ac:dyDescent="0.25">
      <c r="B69" s="20"/>
      <c r="C69" s="21"/>
      <c r="D69" s="656"/>
      <c r="E69" s="656"/>
      <c r="F69" s="41"/>
      <c r="G69" s="41"/>
      <c r="H69" s="41"/>
      <c r="I69" s="41"/>
      <c r="K69" s="32"/>
      <c r="L69" s="32"/>
    </row>
    <row r="70" spans="1:13" x14ac:dyDescent="0.25">
      <c r="B70" s="20" t="s">
        <v>62</v>
      </c>
      <c r="C70" s="21" t="s">
        <v>63</v>
      </c>
      <c r="D70" s="613">
        <v>180</v>
      </c>
      <c r="E70" s="613"/>
      <c r="F70" s="41"/>
      <c r="G70" s="41"/>
      <c r="H70" s="41"/>
      <c r="I70" s="41"/>
      <c r="K70" s="658"/>
      <c r="L70" s="32"/>
    </row>
    <row r="71" spans="1:13" x14ac:dyDescent="0.25">
      <c r="B71" s="36" t="s">
        <v>915</v>
      </c>
      <c r="C71" s="21"/>
      <c r="D71" s="613"/>
      <c r="E71" s="613"/>
      <c r="F71" s="41"/>
      <c r="G71" s="41"/>
      <c r="H71" s="41"/>
      <c r="I71" s="41"/>
      <c r="K71" s="32"/>
      <c r="L71" s="32"/>
    </row>
    <row r="72" spans="1:13" x14ac:dyDescent="0.25">
      <c r="B72" s="20"/>
      <c r="C72" s="21"/>
      <c r="D72" s="613"/>
      <c r="E72" s="613"/>
      <c r="F72" s="41"/>
      <c r="G72" s="41"/>
      <c r="H72" s="41"/>
      <c r="I72" s="41"/>
      <c r="K72" s="32"/>
      <c r="L72" s="32"/>
    </row>
    <row r="73" spans="1:13" ht="15" customHeight="1" x14ac:dyDescent="0.25">
      <c r="B73" s="20" t="s">
        <v>67</v>
      </c>
      <c r="C73" s="21" t="s">
        <v>68</v>
      </c>
      <c r="D73" s="613"/>
      <c r="E73" s="613"/>
      <c r="F73" s="41"/>
      <c r="G73" s="41"/>
      <c r="H73" s="41"/>
      <c r="I73" s="41"/>
      <c r="K73" s="32"/>
      <c r="L73" s="32"/>
    </row>
    <row r="74" spans="1:13" x14ac:dyDescent="0.25">
      <c r="B74" s="36" t="s">
        <v>915</v>
      </c>
      <c r="C74" s="21"/>
      <c r="D74" s="613"/>
      <c r="E74" s="613"/>
      <c r="F74" s="41"/>
      <c r="G74" s="41"/>
      <c r="H74" s="41"/>
      <c r="I74" s="41"/>
      <c r="K74" s="32"/>
      <c r="L74" s="32"/>
      <c r="M74"/>
    </row>
    <row r="75" spans="1:13" x14ac:dyDescent="0.25">
      <c r="B75" s="20"/>
      <c r="C75" s="21"/>
      <c r="D75" s="613"/>
      <c r="E75" s="613"/>
      <c r="F75" s="41"/>
      <c r="G75" s="41"/>
      <c r="H75" s="41"/>
      <c r="I75" s="41"/>
      <c r="K75" s="32"/>
      <c r="L75" s="32"/>
    </row>
    <row r="76" spans="1:13" x14ac:dyDescent="0.25">
      <c r="B76" s="20" t="s">
        <v>944</v>
      </c>
      <c r="C76" s="21" t="s">
        <v>74</v>
      </c>
      <c r="D76" s="613" t="s">
        <v>37</v>
      </c>
      <c r="E76" s="613"/>
      <c r="F76" s="41"/>
      <c r="G76" s="41"/>
      <c r="H76" s="41"/>
      <c r="I76" s="41"/>
      <c r="K76" s="32"/>
      <c r="L76" s="32"/>
      <c r="M76" s="33"/>
    </row>
    <row r="77" spans="1:13" ht="58.5" customHeight="1" x14ac:dyDescent="0.25">
      <c r="B77" s="20" t="s">
        <v>896</v>
      </c>
      <c r="C77" s="21" t="s">
        <v>77</v>
      </c>
      <c r="D77" s="613">
        <v>510</v>
      </c>
      <c r="E77" s="613"/>
      <c r="F77" s="41"/>
      <c r="G77" s="41"/>
      <c r="H77" s="41"/>
      <c r="I77" s="613" t="s">
        <v>37</v>
      </c>
      <c r="K77" s="32"/>
      <c r="L77" s="32"/>
    </row>
    <row r="78" spans="1:13" x14ac:dyDescent="0.25">
      <c r="B78" s="20"/>
      <c r="C78" s="21"/>
      <c r="D78" s="656"/>
      <c r="E78" s="656"/>
      <c r="F78" s="41"/>
      <c r="G78" s="41"/>
      <c r="H78" s="41"/>
      <c r="I78" s="656"/>
      <c r="K78" s="32"/>
      <c r="L78" s="32"/>
    </row>
    <row r="79" spans="1:13" s="28" customFormat="1" x14ac:dyDescent="0.25">
      <c r="A79" s="23"/>
      <c r="B79" s="24" t="s">
        <v>79</v>
      </c>
      <c r="C79" s="25" t="s">
        <v>80</v>
      </c>
      <c r="D79" s="26" t="s">
        <v>37</v>
      </c>
      <c r="E79" s="26"/>
      <c r="F79" s="624"/>
      <c r="G79" s="624"/>
      <c r="H79" s="624"/>
      <c r="I79" s="624"/>
      <c r="K79" s="35"/>
      <c r="L79" s="35"/>
      <c r="M79" s="623"/>
    </row>
    <row r="80" spans="1:13" ht="27.6" x14ac:dyDescent="0.25">
      <c r="B80" s="20" t="s">
        <v>81</v>
      </c>
      <c r="C80" s="21" t="s">
        <v>82</v>
      </c>
      <c r="D80" s="613" t="s">
        <v>37</v>
      </c>
      <c r="E80" s="613"/>
      <c r="F80" s="41"/>
      <c r="G80" s="41"/>
      <c r="H80" s="41"/>
      <c r="I80" s="656" t="s">
        <v>37</v>
      </c>
      <c r="K80" s="32"/>
      <c r="L80" s="32"/>
    </row>
    <row r="81" spans="2:12" ht="27.6" x14ac:dyDescent="0.25">
      <c r="B81" s="20" t="s">
        <v>83</v>
      </c>
      <c r="C81" s="21" t="s">
        <v>84</v>
      </c>
      <c r="D81" s="613">
        <v>111</v>
      </c>
      <c r="E81" s="613"/>
      <c r="F81" s="41"/>
      <c r="G81" s="41"/>
      <c r="H81" s="41"/>
      <c r="I81" s="613" t="s">
        <v>37</v>
      </c>
      <c r="K81" s="32"/>
      <c r="L81" s="32"/>
    </row>
    <row r="82" spans="2:12" ht="27.6" x14ac:dyDescent="0.25">
      <c r="B82" s="36" t="s">
        <v>916</v>
      </c>
      <c r="C82" s="21"/>
      <c r="D82" s="613"/>
      <c r="E82" s="613"/>
      <c r="F82" s="41"/>
      <c r="G82" s="41"/>
      <c r="H82" s="41"/>
      <c r="I82" s="613"/>
      <c r="K82" s="32"/>
      <c r="L82" s="32"/>
    </row>
    <row r="83" spans="2:12" x14ac:dyDescent="0.25">
      <c r="B83" s="20"/>
      <c r="C83" s="21"/>
      <c r="D83" s="613"/>
      <c r="E83" s="613"/>
      <c r="F83" s="41"/>
      <c r="G83" s="41"/>
      <c r="H83" s="41"/>
      <c r="I83" s="613"/>
      <c r="K83" s="32"/>
      <c r="L83" s="32"/>
    </row>
    <row r="84" spans="2:12" x14ac:dyDescent="0.25">
      <c r="B84" s="20"/>
      <c r="C84" s="21"/>
      <c r="D84" s="613"/>
      <c r="E84" s="613"/>
      <c r="F84" s="41"/>
      <c r="G84" s="41"/>
      <c r="H84" s="41"/>
      <c r="I84" s="613"/>
      <c r="K84" s="32"/>
      <c r="L84" s="32"/>
    </row>
    <row r="85" spans="2:12" ht="27.6" x14ac:dyDescent="0.25">
      <c r="B85" s="20" t="s">
        <v>90</v>
      </c>
      <c r="C85" s="21" t="s">
        <v>91</v>
      </c>
      <c r="D85" s="613">
        <v>112</v>
      </c>
      <c r="E85" s="613"/>
      <c r="F85" s="41"/>
      <c r="G85" s="41"/>
      <c r="H85" s="41"/>
      <c r="I85" s="613" t="s">
        <v>37</v>
      </c>
      <c r="K85" s="32"/>
      <c r="L85" s="32"/>
    </row>
    <row r="86" spans="2:12" ht="27.6" x14ac:dyDescent="0.25">
      <c r="B86" s="36" t="s">
        <v>916</v>
      </c>
      <c r="C86" s="21"/>
      <c r="D86" s="613"/>
      <c r="E86" s="613"/>
      <c r="F86" s="41"/>
      <c r="G86" s="41"/>
      <c r="H86" s="41"/>
      <c r="I86" s="613"/>
      <c r="K86" s="32"/>
      <c r="L86" s="32"/>
    </row>
    <row r="87" spans="2:12" x14ac:dyDescent="0.25">
      <c r="B87" s="20"/>
      <c r="C87" s="21"/>
      <c r="D87" s="613"/>
      <c r="E87" s="613"/>
      <c r="F87" s="41"/>
      <c r="G87" s="41"/>
      <c r="H87" s="41"/>
      <c r="I87" s="613"/>
      <c r="K87" s="32"/>
      <c r="L87" s="32"/>
    </row>
    <row r="88" spans="2:12" x14ac:dyDescent="0.25">
      <c r="B88" s="20"/>
      <c r="C88" s="21"/>
      <c r="D88" s="656"/>
      <c r="E88" s="656"/>
      <c r="F88" s="41"/>
      <c r="G88" s="41"/>
      <c r="H88" s="41"/>
      <c r="I88" s="656"/>
      <c r="K88" s="32"/>
      <c r="L88" s="32"/>
    </row>
    <row r="89" spans="2:12" ht="46.5" customHeight="1" x14ac:dyDescent="0.25">
      <c r="B89" s="20" t="s">
        <v>95</v>
      </c>
      <c r="C89" s="21" t="s">
        <v>96</v>
      </c>
      <c r="D89" s="613">
        <v>113</v>
      </c>
      <c r="E89" s="613"/>
      <c r="F89" s="41"/>
      <c r="G89" s="41"/>
      <c r="H89" s="41"/>
      <c r="I89" s="613" t="s">
        <v>37</v>
      </c>
      <c r="K89" s="32"/>
      <c r="L89" s="32"/>
    </row>
    <row r="90" spans="2:12" ht="30" customHeight="1" x14ac:dyDescent="0.25">
      <c r="B90" s="36" t="s">
        <v>916</v>
      </c>
      <c r="C90" s="21"/>
      <c r="D90" s="613"/>
      <c r="E90" s="613"/>
      <c r="F90" s="41"/>
      <c r="G90" s="41"/>
      <c r="H90" s="41"/>
      <c r="I90" s="613"/>
      <c r="K90" s="32"/>
      <c r="L90" s="32"/>
    </row>
    <row r="91" spans="2:12" x14ac:dyDescent="0.25">
      <c r="B91" s="20"/>
      <c r="C91" s="21"/>
      <c r="D91" s="613"/>
      <c r="E91" s="613"/>
      <c r="F91" s="41"/>
      <c r="G91" s="41"/>
      <c r="H91" s="41"/>
      <c r="I91" s="613"/>
      <c r="K91" s="32"/>
      <c r="L91" s="32"/>
    </row>
    <row r="92" spans="2:12" x14ac:dyDescent="0.25">
      <c r="B92" s="20"/>
      <c r="C92" s="21"/>
      <c r="D92" s="656"/>
      <c r="E92" s="656"/>
      <c r="F92" s="41"/>
      <c r="G92" s="41"/>
      <c r="H92" s="41"/>
      <c r="I92" s="656"/>
      <c r="K92" s="32"/>
      <c r="L92" s="32"/>
    </row>
    <row r="93" spans="2:12" ht="58.5" customHeight="1" x14ac:dyDescent="0.25">
      <c r="B93" s="20" t="s">
        <v>100</v>
      </c>
      <c r="C93" s="21" t="s">
        <v>101</v>
      </c>
      <c r="D93" s="613">
        <v>119</v>
      </c>
      <c r="E93" s="613"/>
      <c r="F93" s="41"/>
      <c r="G93" s="41"/>
      <c r="H93" s="41"/>
      <c r="I93" s="613" t="s">
        <v>37</v>
      </c>
      <c r="K93" s="32"/>
      <c r="L93" s="32"/>
    </row>
    <row r="94" spans="2:12" ht="27.6" x14ac:dyDescent="0.25">
      <c r="B94" s="20" t="s">
        <v>102</v>
      </c>
      <c r="C94" s="21" t="s">
        <v>103</v>
      </c>
      <c r="D94" s="613">
        <v>119</v>
      </c>
      <c r="E94" s="613"/>
      <c r="F94" s="41"/>
      <c r="G94" s="41"/>
      <c r="H94" s="41"/>
      <c r="I94" s="613" t="s">
        <v>37</v>
      </c>
      <c r="K94" s="32"/>
      <c r="L94" s="32"/>
    </row>
    <row r="95" spans="2:12" ht="27.6" x14ac:dyDescent="0.25">
      <c r="B95" s="36" t="s">
        <v>917</v>
      </c>
      <c r="C95" s="21"/>
      <c r="D95" s="613">
        <v>119</v>
      </c>
      <c r="E95" s="613"/>
      <c r="F95" s="41"/>
      <c r="G95" s="41"/>
      <c r="H95" s="41"/>
      <c r="I95" s="613"/>
      <c r="K95" s="32"/>
      <c r="L95" s="37"/>
    </row>
    <row r="96" spans="2:12" x14ac:dyDescent="0.25">
      <c r="B96" s="20"/>
      <c r="C96" s="21"/>
      <c r="D96" s="613">
        <v>119</v>
      </c>
      <c r="E96" s="613"/>
      <c r="F96" s="41"/>
      <c r="G96" s="41"/>
      <c r="H96" s="41"/>
      <c r="I96" s="613"/>
      <c r="K96" s="32"/>
      <c r="L96" s="37"/>
    </row>
    <row r="97" spans="2:12" x14ac:dyDescent="0.25">
      <c r="B97" s="20"/>
      <c r="C97" s="21"/>
      <c r="D97" s="613">
        <v>119</v>
      </c>
      <c r="E97" s="613"/>
      <c r="F97" s="41"/>
      <c r="G97" s="41"/>
      <c r="H97" s="41"/>
      <c r="I97" s="613"/>
      <c r="K97" s="32"/>
      <c r="L97" s="32"/>
    </row>
    <row r="98" spans="2:12" x14ac:dyDescent="0.25">
      <c r="B98" s="20" t="s">
        <v>105</v>
      </c>
      <c r="C98" s="21" t="s">
        <v>106</v>
      </c>
      <c r="D98" s="613">
        <v>119</v>
      </c>
      <c r="E98" s="613"/>
      <c r="F98" s="41"/>
      <c r="G98" s="41"/>
      <c r="H98" s="41"/>
      <c r="I98" s="613" t="s">
        <v>37</v>
      </c>
      <c r="K98" s="32"/>
      <c r="L98" s="32"/>
    </row>
    <row r="99" spans="2:12" ht="27.6" x14ac:dyDescent="0.25">
      <c r="B99" s="36" t="s">
        <v>917</v>
      </c>
      <c r="C99" s="21"/>
      <c r="D99" s="613"/>
      <c r="E99" s="613"/>
      <c r="F99" s="41"/>
      <c r="G99" s="41"/>
      <c r="H99" s="41"/>
      <c r="I99" s="613"/>
      <c r="K99" s="32"/>
      <c r="L99" s="37"/>
    </row>
    <row r="100" spans="2:12" x14ac:dyDescent="0.25">
      <c r="B100" s="20"/>
      <c r="C100" s="21"/>
      <c r="D100" s="613"/>
      <c r="E100" s="613"/>
      <c r="F100" s="41"/>
      <c r="G100" s="41"/>
      <c r="H100" s="41"/>
      <c r="I100" s="613"/>
      <c r="K100" s="32"/>
      <c r="L100" s="37"/>
    </row>
    <row r="101" spans="2:12" x14ac:dyDescent="0.25">
      <c r="B101" s="20"/>
      <c r="C101" s="21"/>
      <c r="D101" s="656"/>
      <c r="E101" s="656"/>
      <c r="F101" s="41"/>
      <c r="G101" s="41"/>
      <c r="H101" s="41"/>
      <c r="I101" s="656"/>
      <c r="K101" s="32"/>
      <c r="L101" s="37"/>
    </row>
    <row r="102" spans="2:12" x14ac:dyDescent="0.25">
      <c r="B102" s="20" t="s">
        <v>107</v>
      </c>
      <c r="C102" s="21" t="s">
        <v>108</v>
      </c>
      <c r="D102" s="613">
        <v>300</v>
      </c>
      <c r="E102" s="613"/>
      <c r="F102" s="41"/>
      <c r="G102" s="41"/>
      <c r="H102" s="41"/>
      <c r="I102" s="613" t="s">
        <v>37</v>
      </c>
      <c r="K102" s="32"/>
      <c r="L102" s="32"/>
    </row>
    <row r="103" spans="2:12" ht="41.4" x14ac:dyDescent="0.25">
      <c r="B103" s="20" t="s">
        <v>109</v>
      </c>
      <c r="C103" s="21" t="s">
        <v>110</v>
      </c>
      <c r="D103" s="613">
        <v>320</v>
      </c>
      <c r="E103" s="613"/>
      <c r="F103" s="41"/>
      <c r="G103" s="41"/>
      <c r="H103" s="41"/>
      <c r="I103" s="613" t="s">
        <v>37</v>
      </c>
      <c r="K103" s="32"/>
      <c r="L103" s="32"/>
    </row>
    <row r="104" spans="2:12" ht="55.2" x14ac:dyDescent="0.25">
      <c r="B104" s="20" t="s">
        <v>111</v>
      </c>
      <c r="C104" s="21" t="s">
        <v>112</v>
      </c>
      <c r="D104" s="613">
        <v>321</v>
      </c>
      <c r="E104" s="613"/>
      <c r="F104" s="41"/>
      <c r="G104" s="41"/>
      <c r="H104" s="41"/>
      <c r="I104" s="613" t="s">
        <v>37</v>
      </c>
      <c r="K104" s="32"/>
      <c r="L104" s="32"/>
    </row>
    <row r="105" spans="2:12" ht="27.6" x14ac:dyDescent="0.25">
      <c r="B105" s="36" t="s">
        <v>917</v>
      </c>
      <c r="C105" s="21"/>
      <c r="D105" s="613"/>
      <c r="E105" s="613"/>
      <c r="F105" s="41"/>
      <c r="G105" s="41"/>
      <c r="H105" s="41"/>
      <c r="I105" s="613"/>
      <c r="K105" s="32"/>
      <c r="L105" s="32"/>
    </row>
    <row r="106" spans="2:12" x14ac:dyDescent="0.25">
      <c r="B106" s="20"/>
      <c r="C106" s="21"/>
      <c r="D106" s="613"/>
      <c r="E106" s="613"/>
      <c r="F106" s="41"/>
      <c r="G106" s="41"/>
      <c r="H106" s="41"/>
      <c r="I106" s="613"/>
      <c r="K106" s="32"/>
      <c r="L106" s="32"/>
    </row>
    <row r="107" spans="2:12" x14ac:dyDescent="0.25">
      <c r="B107" s="20"/>
      <c r="C107" s="21"/>
      <c r="D107" s="656"/>
      <c r="E107" s="656"/>
      <c r="F107" s="41"/>
      <c r="G107" s="41"/>
      <c r="H107" s="41"/>
      <c r="I107" s="656"/>
      <c r="K107" s="32"/>
      <c r="L107" s="32"/>
    </row>
    <row r="108" spans="2:12" x14ac:dyDescent="0.25">
      <c r="B108" s="20" t="s">
        <v>117</v>
      </c>
      <c r="C108" s="21" t="s">
        <v>118</v>
      </c>
      <c r="D108" s="613">
        <v>340</v>
      </c>
      <c r="E108" s="613"/>
      <c r="F108" s="41"/>
      <c r="G108" s="41"/>
      <c r="H108" s="41"/>
      <c r="I108" s="613" t="s">
        <v>37</v>
      </c>
      <c r="K108"/>
      <c r="L108" s="32"/>
    </row>
    <row r="109" spans="2:12" ht="27.6" x14ac:dyDescent="0.25">
      <c r="B109" s="36" t="s">
        <v>916</v>
      </c>
      <c r="C109" s="21"/>
      <c r="D109" s="613"/>
      <c r="E109" s="613"/>
      <c r="F109" s="41"/>
      <c r="G109" s="41"/>
      <c r="H109" s="41"/>
      <c r="I109" s="613"/>
      <c r="K109"/>
      <c r="L109" s="32"/>
    </row>
    <row r="110" spans="2:12" x14ac:dyDescent="0.25">
      <c r="B110" s="36"/>
      <c r="C110" s="21"/>
      <c r="D110" s="656"/>
      <c r="E110" s="656"/>
      <c r="F110" s="41"/>
      <c r="G110" s="41"/>
      <c r="H110" s="41"/>
      <c r="I110" s="656"/>
      <c r="K110"/>
      <c r="L110" s="32"/>
    </row>
    <row r="111" spans="2:12" x14ac:dyDescent="0.25">
      <c r="B111" s="36"/>
      <c r="C111" s="21"/>
      <c r="D111" s="656"/>
      <c r="E111" s="656"/>
      <c r="F111" s="41"/>
      <c r="G111" s="41"/>
      <c r="H111" s="41"/>
      <c r="I111" s="656"/>
      <c r="K111"/>
      <c r="L111" s="32"/>
    </row>
    <row r="112" spans="2:12" ht="89.25" customHeight="1" x14ac:dyDescent="0.25">
      <c r="B112" s="20" t="s">
        <v>121</v>
      </c>
      <c r="C112" s="21" t="s">
        <v>122</v>
      </c>
      <c r="D112" s="613">
        <v>350</v>
      </c>
      <c r="E112" s="613"/>
      <c r="F112" s="41"/>
      <c r="G112" s="41"/>
      <c r="H112" s="41"/>
      <c r="I112" s="613" t="s">
        <v>37</v>
      </c>
      <c r="K112" t="s">
        <v>123</v>
      </c>
      <c r="L112" s="32"/>
    </row>
    <row r="113" spans="2:12" ht="15" customHeight="1" x14ac:dyDescent="0.25">
      <c r="B113" s="36" t="s">
        <v>124</v>
      </c>
      <c r="C113" s="21"/>
      <c r="D113" s="613"/>
      <c r="E113" s="613"/>
      <c r="F113" s="41"/>
      <c r="G113" s="41"/>
      <c r="H113" s="41"/>
      <c r="I113" s="613"/>
      <c r="K113"/>
      <c r="L113" s="32"/>
    </row>
    <row r="114" spans="2:12" ht="15" customHeight="1" x14ac:dyDescent="0.25">
      <c r="B114" s="36"/>
      <c r="C114" s="21"/>
      <c r="D114" s="656"/>
      <c r="E114" s="656"/>
      <c r="F114" s="41"/>
      <c r="G114" s="41"/>
      <c r="H114" s="41"/>
      <c r="I114" s="656"/>
      <c r="K114"/>
      <c r="L114" s="32"/>
    </row>
    <row r="115" spans="2:12" ht="15" customHeight="1" x14ac:dyDescent="0.25">
      <c r="B115" s="36"/>
      <c r="C115" s="21"/>
      <c r="D115" s="656"/>
      <c r="E115" s="656"/>
      <c r="F115" s="41"/>
      <c r="G115" s="41"/>
      <c r="H115" s="41"/>
      <c r="I115" s="656"/>
      <c r="K115"/>
      <c r="L115" s="32"/>
    </row>
    <row r="116" spans="2:12" x14ac:dyDescent="0.25">
      <c r="B116" s="20" t="s">
        <v>918</v>
      </c>
      <c r="C116" s="21" t="s">
        <v>125</v>
      </c>
      <c r="D116" s="613">
        <v>360</v>
      </c>
      <c r="E116" s="613"/>
      <c r="F116" s="41"/>
      <c r="G116" s="41"/>
      <c r="H116" s="41"/>
      <c r="I116" s="613" t="s">
        <v>37</v>
      </c>
      <c r="K116" t="s">
        <v>123</v>
      </c>
      <c r="L116" s="32"/>
    </row>
    <row r="117" spans="2:12" ht="15" customHeight="1" x14ac:dyDescent="0.25">
      <c r="B117" s="36" t="s">
        <v>124</v>
      </c>
      <c r="C117" s="21"/>
      <c r="D117" s="613"/>
      <c r="E117" s="613"/>
      <c r="F117" s="41"/>
      <c r="G117" s="41"/>
      <c r="H117" s="41"/>
      <c r="I117" s="613"/>
      <c r="K117" s="32"/>
      <c r="L117" s="32"/>
    </row>
    <row r="118" spans="2:12" x14ac:dyDescent="0.25">
      <c r="B118" s="36"/>
      <c r="C118" s="21"/>
      <c r="D118" s="656"/>
      <c r="E118" s="656"/>
      <c r="F118" s="41"/>
      <c r="G118" s="41"/>
      <c r="H118" s="41"/>
      <c r="I118" s="656"/>
      <c r="K118" s="32"/>
      <c r="L118" s="32"/>
    </row>
    <row r="119" spans="2:12" x14ac:dyDescent="0.25">
      <c r="B119" s="36"/>
      <c r="C119" s="21"/>
      <c r="D119" s="656"/>
      <c r="E119" s="656"/>
      <c r="F119" s="41"/>
      <c r="G119" s="41"/>
      <c r="H119" s="41"/>
      <c r="I119" s="656"/>
      <c r="K119" s="32"/>
      <c r="L119" s="32"/>
    </row>
    <row r="120" spans="2:12" x14ac:dyDescent="0.25">
      <c r="B120" s="20" t="s">
        <v>126</v>
      </c>
      <c r="C120" s="21" t="s">
        <v>127</v>
      </c>
      <c r="D120" s="613">
        <v>850</v>
      </c>
      <c r="E120" s="613"/>
      <c r="F120" s="41"/>
      <c r="G120" s="41"/>
      <c r="H120" s="41"/>
      <c r="I120" s="613" t="s">
        <v>37</v>
      </c>
      <c r="K120" s="32"/>
      <c r="L120" s="32"/>
    </row>
    <row r="121" spans="2:12" ht="41.4" x14ac:dyDescent="0.25">
      <c r="B121" s="20" t="s">
        <v>897</v>
      </c>
      <c r="C121" s="21" t="s">
        <v>128</v>
      </c>
      <c r="D121" s="613">
        <v>851</v>
      </c>
      <c r="E121" s="613"/>
      <c r="F121" s="41"/>
      <c r="G121" s="41"/>
      <c r="H121" s="41"/>
      <c r="I121" s="613" t="s">
        <v>37</v>
      </c>
      <c r="K121" s="32"/>
      <c r="L121" s="32"/>
    </row>
    <row r="122" spans="2:12" ht="15" customHeight="1" x14ac:dyDescent="0.25">
      <c r="B122" s="36" t="s">
        <v>916</v>
      </c>
      <c r="C122" s="21"/>
      <c r="D122" s="613"/>
      <c r="E122" s="613"/>
      <c r="F122" s="41"/>
      <c r="G122" s="41"/>
      <c r="H122" s="41"/>
      <c r="I122" s="613"/>
      <c r="K122" s="32"/>
      <c r="L122" s="32"/>
    </row>
    <row r="123" spans="2:12" x14ac:dyDescent="0.25">
      <c r="B123" s="20"/>
      <c r="C123" s="21"/>
      <c r="D123" s="613"/>
      <c r="E123" s="613"/>
      <c r="F123" s="41"/>
      <c r="G123" s="41"/>
      <c r="H123" s="41"/>
      <c r="I123" s="613"/>
      <c r="K123" s="32"/>
      <c r="L123" s="32"/>
    </row>
    <row r="124" spans="2:12" x14ac:dyDescent="0.25">
      <c r="B124" s="20"/>
      <c r="C124" s="21"/>
      <c r="D124" s="656"/>
      <c r="E124" s="656"/>
      <c r="F124" s="41"/>
      <c r="G124" s="41"/>
      <c r="H124" s="41"/>
      <c r="I124" s="656"/>
      <c r="K124" s="32"/>
      <c r="L124" s="32"/>
    </row>
    <row r="125" spans="2:12" ht="45.75" customHeight="1" x14ac:dyDescent="0.25">
      <c r="B125" s="20" t="s">
        <v>132</v>
      </c>
      <c r="C125" s="21" t="s">
        <v>133</v>
      </c>
      <c r="D125" s="613">
        <v>852</v>
      </c>
      <c r="E125" s="613"/>
      <c r="F125" s="41"/>
      <c r="G125" s="41"/>
      <c r="H125" s="41"/>
      <c r="I125" s="613" t="s">
        <v>37</v>
      </c>
      <c r="K125" s="32"/>
      <c r="L125" s="32"/>
    </row>
    <row r="126" spans="2:12" ht="15" customHeight="1" x14ac:dyDescent="0.25">
      <c r="B126" s="36" t="s">
        <v>916</v>
      </c>
      <c r="C126" s="21"/>
      <c r="D126" s="656"/>
      <c r="E126" s="613"/>
      <c r="F126" s="41"/>
      <c r="G126" s="41"/>
      <c r="H126" s="41"/>
      <c r="I126" s="613"/>
      <c r="K126" s="32"/>
      <c r="L126" s="32"/>
    </row>
    <row r="127" spans="2:12" x14ac:dyDescent="0.25">
      <c r="B127" s="20"/>
      <c r="C127" s="21"/>
      <c r="D127" s="656"/>
      <c r="E127" s="613"/>
      <c r="F127" s="41"/>
      <c r="G127" s="41"/>
      <c r="H127" s="41"/>
      <c r="I127" s="613"/>
      <c r="K127" s="32"/>
      <c r="L127" s="32"/>
    </row>
    <row r="128" spans="2:12" x14ac:dyDescent="0.25">
      <c r="B128" s="20"/>
      <c r="C128" s="21"/>
      <c r="D128" s="656"/>
      <c r="E128" s="656"/>
      <c r="F128" s="41"/>
      <c r="G128" s="41"/>
      <c r="H128" s="41"/>
      <c r="I128" s="656"/>
      <c r="K128" s="32"/>
      <c r="L128" s="32"/>
    </row>
    <row r="129" spans="2:12" ht="27.6" x14ac:dyDescent="0.25">
      <c r="B129" s="20" t="s">
        <v>137</v>
      </c>
      <c r="C129" s="21" t="s">
        <v>138</v>
      </c>
      <c r="D129" s="613">
        <v>853</v>
      </c>
      <c r="E129" s="613"/>
      <c r="F129" s="41"/>
      <c r="G129" s="41"/>
      <c r="H129" s="41"/>
      <c r="I129" s="613" t="s">
        <v>37</v>
      </c>
      <c r="K129" s="32"/>
      <c r="L129" s="32"/>
    </row>
    <row r="130" spans="2:12" ht="18" customHeight="1" x14ac:dyDescent="0.25">
      <c r="B130" s="36" t="s">
        <v>916</v>
      </c>
      <c r="C130" s="21"/>
      <c r="D130" s="656"/>
      <c r="E130" s="613"/>
      <c r="F130" s="41"/>
      <c r="G130" s="41"/>
      <c r="H130" s="41"/>
      <c r="I130" s="613"/>
      <c r="K130" s="32"/>
      <c r="L130" s="32"/>
    </row>
    <row r="131" spans="2:12" x14ac:dyDescent="0.25">
      <c r="B131" s="20"/>
      <c r="C131" s="21"/>
      <c r="D131" s="656"/>
      <c r="E131" s="613"/>
      <c r="F131" s="41"/>
      <c r="G131" s="41"/>
      <c r="H131" s="41"/>
      <c r="I131" s="613"/>
      <c r="K131" s="32"/>
      <c r="L131" s="32"/>
    </row>
    <row r="132" spans="2:12" x14ac:dyDescent="0.25">
      <c r="B132" s="20"/>
      <c r="C132" s="21"/>
      <c r="D132" s="656"/>
      <c r="E132" s="656"/>
      <c r="F132" s="41"/>
      <c r="G132" s="41"/>
      <c r="H132" s="41"/>
      <c r="I132" s="656"/>
      <c r="K132" s="32"/>
      <c r="L132" s="32"/>
    </row>
    <row r="133" spans="2:12" ht="27.6" x14ac:dyDescent="0.25">
      <c r="B133" s="20" t="s">
        <v>142</v>
      </c>
      <c r="C133" s="21" t="s">
        <v>143</v>
      </c>
      <c r="D133" s="613" t="s">
        <v>37</v>
      </c>
      <c r="E133" s="613"/>
      <c r="F133" s="41"/>
      <c r="G133" s="41"/>
      <c r="H133" s="41"/>
      <c r="I133" s="613" t="s">
        <v>37</v>
      </c>
      <c r="K133" s="32"/>
      <c r="L133" s="32"/>
    </row>
    <row r="134" spans="2:12" ht="48" customHeight="1" x14ac:dyDescent="0.25">
      <c r="B134" s="20" t="s">
        <v>919</v>
      </c>
      <c r="C134" s="21" t="s">
        <v>144</v>
      </c>
      <c r="D134" s="613">
        <v>613</v>
      </c>
      <c r="E134" s="613"/>
      <c r="F134" s="41"/>
      <c r="G134" s="41"/>
      <c r="H134" s="41"/>
      <c r="I134" s="613"/>
      <c r="K134" t="s">
        <v>123</v>
      </c>
      <c r="L134" s="32"/>
    </row>
    <row r="135" spans="2:12" ht="30" customHeight="1" x14ac:dyDescent="0.25">
      <c r="B135" s="20" t="s">
        <v>124</v>
      </c>
      <c r="C135" s="21"/>
      <c r="D135" s="613"/>
      <c r="E135" s="613"/>
      <c r="F135" s="41"/>
      <c r="G135" s="41"/>
      <c r="H135" s="41"/>
      <c r="I135" s="613"/>
      <c r="K135"/>
      <c r="L135" s="32"/>
    </row>
    <row r="136" spans="2:12" x14ac:dyDescent="0.25">
      <c r="B136" s="20"/>
      <c r="C136" s="21"/>
      <c r="D136" s="613"/>
      <c r="E136" s="613"/>
      <c r="F136" s="41"/>
      <c r="G136" s="41"/>
      <c r="H136" s="41"/>
      <c r="I136" s="613"/>
      <c r="K136"/>
      <c r="L136" s="32"/>
    </row>
    <row r="137" spans="2:12" x14ac:dyDescent="0.25">
      <c r="B137" s="20"/>
      <c r="C137" s="21"/>
      <c r="D137" s="613"/>
      <c r="E137" s="613"/>
      <c r="F137" s="41"/>
      <c r="G137" s="41"/>
      <c r="H137" s="41"/>
      <c r="I137" s="613"/>
      <c r="K137"/>
      <c r="L137" s="32"/>
    </row>
    <row r="138" spans="2:12" ht="27.6" x14ac:dyDescent="0.25">
      <c r="B138" s="20" t="s">
        <v>920</v>
      </c>
      <c r="C138" s="21" t="s">
        <v>146</v>
      </c>
      <c r="D138" s="613">
        <v>623</v>
      </c>
      <c r="E138" s="613"/>
      <c r="F138" s="41"/>
      <c r="G138" s="41"/>
      <c r="H138" s="41"/>
      <c r="I138" s="613"/>
      <c r="K138" t="s">
        <v>123</v>
      </c>
      <c r="L138" s="32"/>
    </row>
    <row r="139" spans="2:12" ht="30" customHeight="1" x14ac:dyDescent="0.25">
      <c r="B139" s="20" t="s">
        <v>124</v>
      </c>
      <c r="C139" s="21"/>
      <c r="D139" s="613"/>
      <c r="E139" s="613"/>
      <c r="F139" s="41"/>
      <c r="G139" s="41"/>
      <c r="H139" s="41"/>
      <c r="I139" s="613"/>
      <c r="K139"/>
      <c r="L139" s="32"/>
    </row>
    <row r="140" spans="2:12" x14ac:dyDescent="0.25">
      <c r="B140" s="20"/>
      <c r="C140" s="21"/>
      <c r="D140" s="613"/>
      <c r="E140" s="613"/>
      <c r="F140" s="41"/>
      <c r="G140" s="41"/>
      <c r="H140" s="41"/>
      <c r="I140" s="613"/>
      <c r="K140"/>
      <c r="L140" s="32"/>
    </row>
    <row r="141" spans="2:12" x14ac:dyDescent="0.25">
      <c r="B141" s="20"/>
      <c r="C141" s="21"/>
      <c r="D141" s="613"/>
      <c r="E141" s="613"/>
      <c r="F141" s="41"/>
      <c r="G141" s="41"/>
      <c r="H141" s="41"/>
      <c r="I141" s="613"/>
      <c r="K141"/>
      <c r="L141" s="32"/>
    </row>
    <row r="142" spans="2:12" ht="60" customHeight="1" x14ac:dyDescent="0.25">
      <c r="B142" s="20" t="s">
        <v>921</v>
      </c>
      <c r="C142" s="21" t="s">
        <v>148</v>
      </c>
      <c r="D142" s="613">
        <v>634</v>
      </c>
      <c r="E142" s="613"/>
      <c r="F142" s="41"/>
      <c r="G142" s="41"/>
      <c r="H142" s="41"/>
      <c r="I142" s="613"/>
      <c r="K142" t="s">
        <v>123</v>
      </c>
      <c r="L142" s="32"/>
    </row>
    <row r="143" spans="2:12" ht="30" customHeight="1" x14ac:dyDescent="0.25">
      <c r="B143" s="20" t="s">
        <v>922</v>
      </c>
      <c r="C143" s="21" t="s">
        <v>923</v>
      </c>
      <c r="D143" s="613">
        <v>810</v>
      </c>
      <c r="E143" s="613"/>
      <c r="F143" s="41"/>
      <c r="G143" s="41"/>
      <c r="H143" s="41"/>
      <c r="I143" s="613"/>
      <c r="K143" t="s">
        <v>123</v>
      </c>
      <c r="L143" s="32"/>
    </row>
    <row r="144" spans="2:12" x14ac:dyDescent="0.25">
      <c r="B144" s="20" t="s">
        <v>145</v>
      </c>
      <c r="C144" s="21" t="s">
        <v>924</v>
      </c>
      <c r="D144" s="613">
        <v>862</v>
      </c>
      <c r="E144" s="613"/>
      <c r="F144" s="41"/>
      <c r="G144" s="41"/>
      <c r="H144" s="41"/>
      <c r="I144" s="613"/>
      <c r="K144" t="s">
        <v>123</v>
      </c>
      <c r="L144" s="32"/>
    </row>
    <row r="145" spans="2:12" ht="45" customHeight="1" x14ac:dyDescent="0.25">
      <c r="B145" s="20" t="s">
        <v>147</v>
      </c>
      <c r="C145" s="21" t="s">
        <v>925</v>
      </c>
      <c r="D145" s="613">
        <v>863</v>
      </c>
      <c r="E145" s="613"/>
      <c r="F145" s="41"/>
      <c r="G145" s="41"/>
      <c r="H145" s="41"/>
      <c r="I145" s="613"/>
      <c r="K145" t="s">
        <v>123</v>
      </c>
      <c r="L145" s="32"/>
    </row>
    <row r="146" spans="2:12" x14ac:dyDescent="0.25">
      <c r="B146" s="20"/>
      <c r="C146" s="21"/>
      <c r="D146" s="656"/>
      <c r="E146" s="656"/>
      <c r="F146" s="41"/>
      <c r="G146" s="41"/>
      <c r="H146" s="41"/>
      <c r="I146" s="656"/>
      <c r="K146" s="32"/>
      <c r="L146" s="32"/>
    </row>
    <row r="147" spans="2:12" ht="15" customHeight="1" x14ac:dyDescent="0.25">
      <c r="B147" s="20" t="s">
        <v>916</v>
      </c>
      <c r="C147" s="21"/>
      <c r="D147" s="656"/>
      <c r="E147" s="656"/>
      <c r="F147" s="41"/>
      <c r="G147" s="41"/>
      <c r="H147" s="41"/>
      <c r="I147" s="656"/>
      <c r="K147" s="32"/>
      <c r="L147" s="32"/>
    </row>
    <row r="148" spans="2:12" x14ac:dyDescent="0.25">
      <c r="B148" s="20"/>
      <c r="C148" s="21"/>
      <c r="D148" s="656"/>
      <c r="E148" s="656"/>
      <c r="F148" s="41"/>
      <c r="G148" s="41"/>
      <c r="H148" s="41"/>
      <c r="I148" s="656"/>
      <c r="K148" s="32"/>
      <c r="L148" s="32"/>
    </row>
    <row r="149" spans="2:12" x14ac:dyDescent="0.25">
      <c r="B149" s="20"/>
      <c r="C149" s="21"/>
      <c r="D149" s="656"/>
      <c r="E149" s="656"/>
      <c r="F149" s="41"/>
      <c r="G149" s="41"/>
      <c r="H149" s="41"/>
      <c r="I149" s="656"/>
      <c r="K149" s="32"/>
      <c r="L149" s="32"/>
    </row>
    <row r="150" spans="2:12" ht="27.6" x14ac:dyDescent="0.25">
      <c r="B150" s="20" t="s">
        <v>149</v>
      </c>
      <c r="C150" s="21" t="s">
        <v>150</v>
      </c>
      <c r="D150" s="613" t="s">
        <v>37</v>
      </c>
      <c r="E150" s="613"/>
      <c r="F150" s="41"/>
      <c r="G150" s="41"/>
      <c r="H150" s="41"/>
      <c r="I150" s="613" t="s">
        <v>37</v>
      </c>
      <c r="K150" s="32"/>
      <c r="L150" s="32"/>
    </row>
    <row r="151" spans="2:12" ht="60" customHeight="1" x14ac:dyDescent="0.25">
      <c r="B151" s="20" t="s">
        <v>151</v>
      </c>
      <c r="C151" s="21" t="s">
        <v>152</v>
      </c>
      <c r="D151" s="613">
        <v>831</v>
      </c>
      <c r="E151" s="613"/>
      <c r="F151" s="41"/>
      <c r="G151" s="41"/>
      <c r="H151" s="41"/>
      <c r="I151" s="613" t="s">
        <v>37</v>
      </c>
      <c r="K151" s="32"/>
      <c r="L151" s="32"/>
    </row>
    <row r="152" spans="2:12" ht="15" customHeight="1" x14ac:dyDescent="0.25">
      <c r="B152" s="20" t="s">
        <v>916</v>
      </c>
      <c r="C152" s="21"/>
      <c r="D152" s="656"/>
      <c r="E152" s="613"/>
      <c r="F152" s="41"/>
      <c r="G152" s="41"/>
      <c r="H152" s="41"/>
      <c r="I152" s="613"/>
      <c r="K152" s="32"/>
      <c r="L152" s="32"/>
    </row>
    <row r="153" spans="2:12" x14ac:dyDescent="0.25">
      <c r="B153" s="20"/>
      <c r="C153" s="21"/>
      <c r="D153" s="656"/>
      <c r="E153" s="613"/>
      <c r="F153" s="41"/>
      <c r="G153" s="41"/>
      <c r="H153" s="41"/>
      <c r="I153" s="613"/>
      <c r="K153" s="32"/>
      <c r="L153" s="32"/>
    </row>
    <row r="154" spans="2:12" x14ac:dyDescent="0.25">
      <c r="B154" s="20"/>
      <c r="C154" s="21"/>
      <c r="D154" s="656"/>
      <c r="E154" s="656"/>
      <c r="F154" s="41"/>
      <c r="G154" s="41"/>
      <c r="H154" s="41"/>
      <c r="I154" s="656"/>
      <c r="K154" s="32"/>
      <c r="L154" s="32"/>
    </row>
    <row r="155" spans="2:12" ht="30" customHeight="1" x14ac:dyDescent="0.25">
      <c r="B155" s="20" t="s">
        <v>945</v>
      </c>
      <c r="C155" s="21" t="s">
        <v>158</v>
      </c>
      <c r="D155" s="613" t="s">
        <v>37</v>
      </c>
      <c r="E155" s="613"/>
      <c r="F155" s="41"/>
      <c r="G155" s="41"/>
      <c r="H155" s="41"/>
      <c r="I155" s="41"/>
      <c r="K155" s="32"/>
      <c r="L155" s="32"/>
    </row>
    <row r="156" spans="2:12" ht="41.4" x14ac:dyDescent="0.25">
      <c r="B156" s="20" t="s">
        <v>159</v>
      </c>
      <c r="C156" s="21" t="s">
        <v>160</v>
      </c>
      <c r="D156" s="613">
        <v>241</v>
      </c>
      <c r="E156" s="613"/>
      <c r="F156" s="41"/>
      <c r="G156" s="41"/>
      <c r="H156" s="41"/>
      <c r="I156" s="41"/>
      <c r="K156" s="32"/>
      <c r="L156" s="32"/>
    </row>
    <row r="157" spans="2:12" ht="15" customHeight="1" x14ac:dyDescent="0.25">
      <c r="B157" s="20" t="s">
        <v>916</v>
      </c>
      <c r="C157" s="21"/>
      <c r="D157" s="613"/>
      <c r="E157" s="613"/>
      <c r="F157" s="41"/>
      <c r="G157" s="41"/>
      <c r="H157" s="41"/>
      <c r="I157" s="613"/>
      <c r="K157" s="32"/>
      <c r="L157" s="32"/>
    </row>
    <row r="158" spans="2:12" x14ac:dyDescent="0.25">
      <c r="B158" s="20"/>
      <c r="C158" s="21"/>
      <c r="D158" s="613"/>
      <c r="E158" s="613"/>
      <c r="F158" s="41"/>
      <c r="G158" s="41"/>
      <c r="H158" s="41"/>
      <c r="I158" s="613"/>
      <c r="K158" s="32"/>
      <c r="L158" s="32"/>
    </row>
    <row r="159" spans="2:12" x14ac:dyDescent="0.25">
      <c r="B159" s="20"/>
      <c r="C159" s="21"/>
      <c r="D159" s="613"/>
      <c r="E159" s="613"/>
      <c r="F159" s="41"/>
      <c r="G159" s="41"/>
      <c r="H159" s="41"/>
      <c r="I159" s="613"/>
      <c r="K159" s="32"/>
      <c r="L159" s="32"/>
    </row>
    <row r="160" spans="2:12" ht="41.4" x14ac:dyDescent="0.25">
      <c r="B160" s="20" t="s">
        <v>164</v>
      </c>
      <c r="C160" s="21" t="s">
        <v>165</v>
      </c>
      <c r="D160" s="613">
        <v>243</v>
      </c>
      <c r="E160" s="613"/>
      <c r="F160" s="41"/>
      <c r="G160" s="41"/>
      <c r="H160" s="41"/>
      <c r="I160" s="41"/>
      <c r="K160" s="32"/>
      <c r="L160" s="32"/>
    </row>
    <row r="161" spans="2:12" ht="15" customHeight="1" x14ac:dyDescent="0.25">
      <c r="B161" s="20" t="s">
        <v>916</v>
      </c>
      <c r="C161" s="21"/>
      <c r="D161" s="613"/>
      <c r="E161" s="613"/>
      <c r="F161" s="41"/>
      <c r="G161" s="41"/>
      <c r="H161" s="41"/>
      <c r="I161" s="613"/>
      <c r="K161" s="32"/>
      <c r="L161" s="38"/>
    </row>
    <row r="162" spans="2:12" x14ac:dyDescent="0.25">
      <c r="B162" s="20"/>
      <c r="C162" s="21"/>
      <c r="D162" s="656"/>
      <c r="E162" s="656"/>
      <c r="F162" s="41"/>
      <c r="G162" s="41"/>
      <c r="H162" s="41"/>
      <c r="I162" s="656"/>
      <c r="K162" s="32"/>
      <c r="L162" s="38"/>
    </row>
    <row r="163" spans="2:12" x14ac:dyDescent="0.25">
      <c r="B163" s="20"/>
      <c r="C163" s="21"/>
      <c r="D163" s="656"/>
      <c r="E163" s="656"/>
      <c r="F163" s="41"/>
      <c r="G163" s="41"/>
      <c r="H163" s="41"/>
      <c r="I163" s="656"/>
      <c r="K163" s="32"/>
      <c r="L163" s="38"/>
    </row>
    <row r="164" spans="2:12" x14ac:dyDescent="0.25">
      <c r="B164" s="20" t="s">
        <v>168</v>
      </c>
      <c r="C164" s="21" t="s">
        <v>169</v>
      </c>
      <c r="D164" s="613">
        <v>244</v>
      </c>
      <c r="E164" s="613"/>
      <c r="F164" s="41"/>
      <c r="G164" s="41"/>
      <c r="H164" s="41"/>
      <c r="I164" s="41"/>
      <c r="K164" s="32"/>
      <c r="L164" s="32"/>
    </row>
    <row r="165" spans="2:12" ht="15" customHeight="1" x14ac:dyDescent="0.25">
      <c r="B165" s="20" t="s">
        <v>916</v>
      </c>
      <c r="C165" s="21"/>
      <c r="D165" s="613"/>
      <c r="E165" s="613"/>
      <c r="F165" s="41"/>
      <c r="G165" s="41"/>
      <c r="H165" s="41"/>
      <c r="I165" s="613"/>
      <c r="K165" s="32"/>
      <c r="L165" s="32"/>
    </row>
    <row r="166" spans="2:12" ht="15" customHeight="1" x14ac:dyDescent="0.25">
      <c r="B166" s="20"/>
      <c r="C166" s="21"/>
      <c r="D166" s="656"/>
      <c r="E166" s="656"/>
      <c r="F166" s="41"/>
      <c r="G166" s="41"/>
      <c r="H166" s="41"/>
      <c r="I166" s="656"/>
      <c r="K166" s="32"/>
      <c r="L166" s="32"/>
    </row>
    <row r="167" spans="2:12" x14ac:dyDescent="0.25">
      <c r="B167" s="39" t="s">
        <v>404</v>
      </c>
      <c r="C167" s="21"/>
      <c r="D167" s="613"/>
      <c r="E167" s="613"/>
      <c r="F167" s="41"/>
      <c r="G167" s="41"/>
      <c r="H167" s="41"/>
      <c r="I167" s="41"/>
      <c r="K167" s="32"/>
      <c r="L167" s="32"/>
    </row>
    <row r="168" spans="2:12" x14ac:dyDescent="0.25">
      <c r="B168" s="20"/>
      <c r="C168" s="21"/>
      <c r="D168" s="613"/>
      <c r="E168" s="613"/>
      <c r="F168" s="41"/>
      <c r="G168" s="41"/>
      <c r="H168" s="41"/>
      <c r="I168" s="41"/>
      <c r="K168" s="32"/>
      <c r="L168" s="32"/>
    </row>
    <row r="169" spans="2:12" x14ac:dyDescent="0.25">
      <c r="B169" s="39" t="s">
        <v>404</v>
      </c>
      <c r="C169" s="21"/>
      <c r="D169" s="613"/>
      <c r="E169" s="613"/>
      <c r="F169" s="41"/>
      <c r="G169" s="41"/>
      <c r="H169" s="41"/>
      <c r="I169" s="41"/>
      <c r="K169" s="32"/>
      <c r="L169" s="32"/>
    </row>
    <row r="170" spans="2:12" ht="15" customHeight="1" x14ac:dyDescent="0.25">
      <c r="B170" s="39"/>
      <c r="C170" s="21"/>
      <c r="D170" s="613"/>
      <c r="E170" s="613"/>
      <c r="F170" s="41"/>
      <c r="G170" s="41"/>
      <c r="H170" s="41"/>
      <c r="I170" s="41"/>
      <c r="K170" s="32"/>
      <c r="L170" s="32"/>
    </row>
    <row r="171" spans="2:12" x14ac:dyDescent="0.25">
      <c r="B171" s="39" t="s">
        <v>404</v>
      </c>
      <c r="C171" s="21"/>
      <c r="D171" s="613"/>
      <c r="E171" s="613"/>
      <c r="F171" s="41"/>
      <c r="G171" s="41"/>
      <c r="H171" s="41"/>
      <c r="I171" s="41"/>
      <c r="K171" s="32"/>
      <c r="L171" s="32"/>
    </row>
    <row r="172" spans="2:12" x14ac:dyDescent="0.25">
      <c r="B172" s="20" t="s">
        <v>926</v>
      </c>
      <c r="C172" s="21" t="s">
        <v>752</v>
      </c>
      <c r="D172" s="656">
        <v>247</v>
      </c>
      <c r="E172" s="656"/>
      <c r="F172" s="41"/>
      <c r="G172" s="41"/>
      <c r="H172" s="41"/>
      <c r="I172" s="41"/>
      <c r="K172" s="32"/>
      <c r="L172" s="32"/>
    </row>
    <row r="173" spans="2:12" ht="15" customHeight="1" x14ac:dyDescent="0.25">
      <c r="B173" s="20" t="s">
        <v>916</v>
      </c>
      <c r="C173" s="21"/>
      <c r="D173" s="656"/>
      <c r="E173" s="656"/>
      <c r="F173" s="41"/>
      <c r="G173" s="41"/>
      <c r="H173" s="41"/>
      <c r="I173" s="656"/>
      <c r="K173" s="32"/>
      <c r="L173" s="32"/>
    </row>
    <row r="174" spans="2:12" ht="15" customHeight="1" x14ac:dyDescent="0.25">
      <c r="B174" s="20"/>
      <c r="C174" s="21"/>
      <c r="D174" s="656"/>
      <c r="E174" s="656"/>
      <c r="F174" s="41"/>
      <c r="G174" s="41"/>
      <c r="H174" s="41"/>
      <c r="I174" s="656"/>
      <c r="K174" s="32"/>
      <c r="L174" s="32"/>
    </row>
    <row r="175" spans="2:12" x14ac:dyDescent="0.25">
      <c r="B175" s="39" t="s">
        <v>404</v>
      </c>
      <c r="C175" s="21"/>
      <c r="D175" s="656"/>
      <c r="E175" s="656"/>
      <c r="F175" s="41"/>
      <c r="G175" s="41"/>
      <c r="H175" s="41"/>
      <c r="I175" s="41"/>
      <c r="K175" s="32"/>
      <c r="L175" s="32"/>
    </row>
    <row r="176" spans="2:12" x14ac:dyDescent="0.25">
      <c r="B176" s="20"/>
      <c r="C176" s="21"/>
      <c r="D176" s="656"/>
      <c r="E176" s="656"/>
      <c r="F176" s="41"/>
      <c r="G176" s="41"/>
      <c r="H176" s="41"/>
      <c r="I176" s="41"/>
      <c r="K176" s="32"/>
      <c r="L176" s="32"/>
    </row>
    <row r="177" spans="1:13" x14ac:dyDescent="0.25">
      <c r="B177" s="39" t="s">
        <v>404</v>
      </c>
      <c r="C177" s="21"/>
      <c r="D177" s="656"/>
      <c r="E177" s="656"/>
      <c r="F177" s="41"/>
      <c r="G177" s="41"/>
      <c r="H177" s="41"/>
      <c r="I177" s="41"/>
      <c r="K177" s="32"/>
      <c r="L177" s="32"/>
    </row>
    <row r="178" spans="1:13" ht="41.4" x14ac:dyDescent="0.25">
      <c r="B178" s="20" t="s">
        <v>927</v>
      </c>
      <c r="C178" s="21" t="s">
        <v>928</v>
      </c>
      <c r="D178" s="613">
        <v>400</v>
      </c>
      <c r="E178" s="613"/>
      <c r="F178" s="41"/>
      <c r="G178" s="41"/>
      <c r="H178" s="41"/>
      <c r="I178" s="41"/>
      <c r="K178" s="32"/>
      <c r="L178" s="32"/>
    </row>
    <row r="179" spans="1:13" ht="55.2" x14ac:dyDescent="0.25">
      <c r="B179" s="20" t="s">
        <v>932</v>
      </c>
      <c r="C179" s="21" t="s">
        <v>929</v>
      </c>
      <c r="D179" s="613">
        <v>406</v>
      </c>
      <c r="E179" s="613"/>
      <c r="F179" s="41"/>
      <c r="G179" s="41"/>
      <c r="H179" s="41"/>
      <c r="I179" s="41"/>
      <c r="K179" s="32"/>
      <c r="L179" s="32"/>
    </row>
    <row r="180" spans="1:13" ht="15" customHeight="1" x14ac:dyDescent="0.25">
      <c r="B180" s="20" t="s">
        <v>916</v>
      </c>
      <c r="C180" s="21"/>
      <c r="D180" s="613"/>
      <c r="E180" s="613"/>
      <c r="F180" s="41"/>
      <c r="G180" s="41"/>
      <c r="H180" s="41"/>
      <c r="I180" s="613"/>
      <c r="K180" s="32"/>
      <c r="L180" s="32"/>
    </row>
    <row r="181" spans="1:13" x14ac:dyDescent="0.25">
      <c r="B181" s="20"/>
      <c r="C181" s="21"/>
      <c r="D181" s="656"/>
      <c r="E181" s="656"/>
      <c r="F181" s="41"/>
      <c r="G181" s="41"/>
      <c r="H181" s="41"/>
      <c r="I181" s="656"/>
      <c r="K181" s="32"/>
      <c r="L181" s="32"/>
    </row>
    <row r="182" spans="1:13" x14ac:dyDescent="0.25">
      <c r="B182" s="20"/>
      <c r="C182" s="21"/>
      <c r="D182" s="656"/>
      <c r="E182" s="656"/>
      <c r="F182" s="41"/>
      <c r="G182" s="41"/>
      <c r="H182" s="41"/>
      <c r="I182" s="656"/>
      <c r="K182" s="32"/>
      <c r="L182" s="32"/>
    </row>
    <row r="183" spans="1:13" ht="41.4" x14ac:dyDescent="0.25">
      <c r="B183" s="20" t="s">
        <v>931</v>
      </c>
      <c r="C183" s="21" t="s">
        <v>930</v>
      </c>
      <c r="D183" s="613">
        <v>407</v>
      </c>
      <c r="E183" s="613"/>
      <c r="F183" s="41"/>
      <c r="G183" s="41"/>
      <c r="H183" s="41"/>
      <c r="I183" s="41"/>
      <c r="K183" s="32"/>
      <c r="L183" s="32"/>
    </row>
    <row r="184" spans="1:13" ht="15" customHeight="1" x14ac:dyDescent="0.25">
      <c r="B184" s="20" t="s">
        <v>916</v>
      </c>
      <c r="C184" s="21"/>
      <c r="D184" s="656"/>
      <c r="E184" s="656"/>
      <c r="F184" s="41"/>
      <c r="G184" s="41"/>
      <c r="H184" s="41"/>
      <c r="I184" s="41"/>
      <c r="K184" s="32"/>
      <c r="L184" s="32"/>
    </row>
    <row r="185" spans="1:13" x14ac:dyDescent="0.25">
      <c r="B185" s="20"/>
      <c r="C185" s="21"/>
      <c r="D185" s="656"/>
      <c r="E185" s="656"/>
      <c r="F185" s="41"/>
      <c r="G185" s="41"/>
      <c r="H185" s="41"/>
      <c r="I185" s="41"/>
      <c r="K185" s="32"/>
      <c r="L185" s="32"/>
    </row>
    <row r="186" spans="1:13" x14ac:dyDescent="0.25">
      <c r="B186" s="20"/>
      <c r="C186" s="21"/>
      <c r="D186" s="613"/>
      <c r="E186" s="613"/>
      <c r="F186" s="41"/>
      <c r="G186" s="41"/>
      <c r="H186" s="41"/>
      <c r="I186" s="613"/>
      <c r="K186" s="32"/>
      <c r="L186" s="32"/>
    </row>
    <row r="187" spans="1:13" s="28" customFormat="1" x14ac:dyDescent="0.25">
      <c r="A187" s="23"/>
      <c r="B187" s="24" t="s">
        <v>946</v>
      </c>
      <c r="C187" s="25" t="s">
        <v>176</v>
      </c>
      <c r="D187" s="26">
        <v>100</v>
      </c>
      <c r="E187" s="26"/>
      <c r="F187" s="624"/>
      <c r="G187" s="624"/>
      <c r="H187" s="624"/>
      <c r="I187" s="26" t="s">
        <v>37</v>
      </c>
      <c r="K187" s="35"/>
      <c r="L187" s="35"/>
      <c r="M187" s="623"/>
    </row>
    <row r="188" spans="1:13" ht="27.6" x14ac:dyDescent="0.25">
      <c r="B188" s="20" t="s">
        <v>947</v>
      </c>
      <c r="C188" s="21" t="s">
        <v>177</v>
      </c>
      <c r="D188" s="613"/>
      <c r="E188" s="613"/>
      <c r="F188" s="41"/>
      <c r="G188" s="41"/>
      <c r="H188" s="41"/>
      <c r="I188" s="613" t="s">
        <v>37</v>
      </c>
      <c r="K188" s="32"/>
      <c r="L188" s="32"/>
    </row>
    <row r="189" spans="1:13" x14ac:dyDescent="0.25">
      <c r="B189" s="20" t="s">
        <v>948</v>
      </c>
      <c r="C189" s="21" t="s">
        <v>179</v>
      </c>
      <c r="D189" s="613"/>
      <c r="E189" s="613"/>
      <c r="F189" s="41"/>
      <c r="G189" s="41"/>
      <c r="H189" s="41"/>
      <c r="I189" s="613" t="s">
        <v>37</v>
      </c>
      <c r="K189" s="32"/>
      <c r="L189" s="32"/>
    </row>
    <row r="190" spans="1:13" x14ac:dyDescent="0.25">
      <c r="B190" s="20" t="s">
        <v>949</v>
      </c>
      <c r="C190" s="21" t="s">
        <v>180</v>
      </c>
      <c r="D190" s="613"/>
      <c r="E190" s="613"/>
      <c r="F190" s="41"/>
      <c r="G190" s="41"/>
      <c r="H190" s="41"/>
      <c r="I190" s="613" t="s">
        <v>37</v>
      </c>
      <c r="K190" s="32"/>
      <c r="L190" s="32"/>
    </row>
    <row r="191" spans="1:13" s="28" customFormat="1" x14ac:dyDescent="0.25">
      <c r="A191" s="23"/>
      <c r="B191" s="24" t="s">
        <v>950</v>
      </c>
      <c r="C191" s="25" t="s">
        <v>182</v>
      </c>
      <c r="D191" s="26" t="s">
        <v>37</v>
      </c>
      <c r="E191" s="26"/>
      <c r="F191" s="624"/>
      <c r="G191" s="624"/>
      <c r="H191" s="624"/>
      <c r="I191" s="26" t="s">
        <v>37</v>
      </c>
      <c r="K191" s="32"/>
      <c r="L191" s="32"/>
      <c r="M191" s="33"/>
    </row>
    <row r="192" spans="1:13" ht="27.6" x14ac:dyDescent="0.25">
      <c r="B192" s="20" t="s">
        <v>184</v>
      </c>
      <c r="C192" s="21" t="s">
        <v>185</v>
      </c>
      <c r="D192" s="613">
        <v>610</v>
      </c>
      <c r="E192" s="613"/>
      <c r="F192" s="41"/>
      <c r="G192" s="41"/>
      <c r="H192" s="41"/>
      <c r="I192" s="613" t="s">
        <v>37</v>
      </c>
      <c r="K192" s="32"/>
      <c r="L192" s="32"/>
    </row>
    <row r="193" spans="1:12" x14ac:dyDescent="0.25">
      <c r="B193" s="20"/>
      <c r="C193" s="41"/>
      <c r="D193" s="41"/>
      <c r="E193" s="41"/>
      <c r="F193" s="41"/>
      <c r="G193" s="41"/>
      <c r="H193" s="41"/>
      <c r="I193" s="41"/>
      <c r="K193" s="32"/>
      <c r="L193" s="32"/>
    </row>
    <row r="194" spans="1:12" x14ac:dyDescent="0.25">
      <c r="A194" s="18"/>
      <c r="B194" s="622"/>
      <c r="K194" s="32"/>
      <c r="L194" s="32"/>
    </row>
    <row r="195" spans="1:12" x14ac:dyDescent="0.25">
      <c r="A195" s="1" t="s">
        <v>951</v>
      </c>
      <c r="K195" s="32"/>
      <c r="L195" s="32"/>
    </row>
    <row r="196" spans="1:12" x14ac:dyDescent="0.25">
      <c r="A196" s="1" t="s">
        <v>952</v>
      </c>
      <c r="K196" s="32"/>
      <c r="L196" s="32"/>
    </row>
    <row r="197" spans="1:12" x14ac:dyDescent="0.25">
      <c r="A197" s="1" t="s">
        <v>953</v>
      </c>
      <c r="K197" s="32"/>
      <c r="L197" s="32"/>
    </row>
    <row r="198" spans="1:12" x14ac:dyDescent="0.25">
      <c r="A198" s="1" t="s">
        <v>954</v>
      </c>
      <c r="K198" s="32"/>
      <c r="L198" s="32"/>
    </row>
    <row r="199" spans="1:12" ht="30" customHeight="1" x14ac:dyDescent="0.25">
      <c r="A199" s="876" t="s">
        <v>955</v>
      </c>
      <c r="B199" s="876"/>
      <c r="C199" s="876"/>
      <c r="D199" s="876"/>
      <c r="E199" s="876"/>
      <c r="F199" s="876"/>
      <c r="G199" s="876"/>
      <c r="H199" s="876"/>
      <c r="I199" s="876"/>
      <c r="J199" s="876"/>
      <c r="K199" s="32"/>
      <c r="L199" s="32"/>
    </row>
    <row r="200" spans="1:12" x14ac:dyDescent="0.25">
      <c r="A200" s="1" t="s">
        <v>956</v>
      </c>
      <c r="K200" s="32"/>
      <c r="L200" s="32"/>
    </row>
    <row r="201" spans="1:12" ht="30" customHeight="1" x14ac:dyDescent="0.25">
      <c r="A201" s="876" t="s">
        <v>957</v>
      </c>
      <c r="B201" s="876"/>
      <c r="C201" s="876"/>
      <c r="D201" s="876"/>
      <c r="E201" s="876"/>
      <c r="F201" s="876"/>
      <c r="G201" s="876"/>
      <c r="H201" s="876"/>
      <c r="I201" s="876"/>
      <c r="J201" s="876"/>
      <c r="K201" s="32"/>
      <c r="L201" s="32"/>
    </row>
    <row r="202" spans="1:12" ht="30" customHeight="1" x14ac:dyDescent="0.25">
      <c r="A202" s="876" t="s">
        <v>958</v>
      </c>
      <c r="B202" s="876"/>
      <c r="C202" s="876"/>
      <c r="D202" s="876"/>
      <c r="E202" s="876"/>
      <c r="F202" s="876"/>
      <c r="G202" s="876"/>
      <c r="H202" s="876"/>
      <c r="I202" s="876"/>
      <c r="J202" s="876"/>
      <c r="K202" s="32"/>
      <c r="L202" s="32"/>
    </row>
    <row r="203" spans="1:12" ht="30" customHeight="1" x14ac:dyDescent="0.25">
      <c r="A203" s="876" t="s">
        <v>959</v>
      </c>
      <c r="B203" s="876"/>
      <c r="C203" s="876"/>
      <c r="D203" s="876"/>
      <c r="E203" s="876"/>
      <c r="F203" s="876"/>
      <c r="G203" s="876"/>
      <c r="H203" s="876"/>
      <c r="I203" s="876"/>
      <c r="J203" s="876"/>
      <c r="K203" s="32"/>
      <c r="L203" s="32"/>
    </row>
    <row r="204" spans="1:12" ht="30" customHeight="1" x14ac:dyDescent="0.25">
      <c r="A204" s="876" t="s">
        <v>960</v>
      </c>
      <c r="B204" s="876"/>
      <c r="C204" s="876"/>
      <c r="D204" s="876"/>
      <c r="E204" s="876"/>
      <c r="F204" s="876"/>
      <c r="G204" s="876"/>
      <c r="H204" s="876"/>
      <c r="I204" s="876"/>
      <c r="J204" s="876"/>
      <c r="K204" s="32"/>
      <c r="L204" s="32"/>
    </row>
    <row r="205" spans="1:12" ht="45" customHeight="1" x14ac:dyDescent="0.25">
      <c r="A205" s="876" t="s">
        <v>961</v>
      </c>
      <c r="B205" s="876"/>
      <c r="C205" s="876"/>
      <c r="D205" s="876"/>
      <c r="E205" s="876"/>
      <c r="F205" s="876"/>
      <c r="G205" s="876"/>
      <c r="H205" s="876"/>
      <c r="I205" s="876"/>
      <c r="J205" s="876"/>
      <c r="K205" s="32"/>
      <c r="L205" s="32"/>
    </row>
    <row r="206" spans="1:12" ht="30" customHeight="1" x14ac:dyDescent="0.25">
      <c r="A206" s="876" t="s">
        <v>962</v>
      </c>
      <c r="B206" s="876"/>
      <c r="C206" s="876"/>
      <c r="D206" s="876"/>
      <c r="E206" s="876"/>
      <c r="F206" s="876"/>
      <c r="G206" s="876"/>
      <c r="H206" s="876"/>
      <c r="I206" s="876"/>
      <c r="J206" s="876"/>
      <c r="K206" s="32"/>
      <c r="L206" s="32"/>
    </row>
    <row r="207" spans="1:12" x14ac:dyDescent="0.25">
      <c r="A207" s="876" t="s">
        <v>963</v>
      </c>
      <c r="B207" s="876"/>
      <c r="K207" s="32"/>
      <c r="L207" s="32"/>
    </row>
    <row r="208" spans="1:12" ht="60" customHeight="1" x14ac:dyDescent="0.25">
      <c r="A208" s="876" t="s">
        <v>964</v>
      </c>
      <c r="B208" s="876"/>
      <c r="C208" s="876"/>
      <c r="D208" s="876"/>
      <c r="E208" s="876"/>
      <c r="F208" s="876"/>
      <c r="G208" s="876"/>
      <c r="H208" s="876"/>
      <c r="I208" s="876"/>
      <c r="J208" s="876"/>
      <c r="K208" s="32"/>
      <c r="L208" s="32"/>
    </row>
    <row r="209" spans="1:14" x14ac:dyDescent="0.25">
      <c r="B209" s="863" t="s">
        <v>965</v>
      </c>
      <c r="C209" s="863"/>
      <c r="D209" s="863"/>
      <c r="E209" s="863"/>
      <c r="F209" s="863"/>
      <c r="G209" s="863"/>
      <c r="H209" s="863"/>
      <c r="I209" s="863"/>
      <c r="K209" s="32"/>
      <c r="L209" s="32"/>
    </row>
    <row r="210" spans="1:14" x14ac:dyDescent="0.25">
      <c r="K210" s="32"/>
      <c r="L210" s="32"/>
    </row>
    <row r="211" spans="1:14" x14ac:dyDescent="0.25">
      <c r="A211" s="860" t="s">
        <v>188</v>
      </c>
      <c r="B211" s="860" t="s">
        <v>29</v>
      </c>
      <c r="C211" s="860"/>
      <c r="D211" s="860" t="s">
        <v>189</v>
      </c>
      <c r="E211" s="860" t="s">
        <v>190</v>
      </c>
      <c r="F211" s="864" t="s">
        <v>966</v>
      </c>
      <c r="G211" s="866" t="s">
        <v>33</v>
      </c>
      <c r="H211" s="867"/>
      <c r="I211" s="867"/>
      <c r="J211" s="868"/>
      <c r="K211"/>
      <c r="L211" s="32"/>
      <c r="M211" s="32"/>
      <c r="N211" s="4"/>
    </row>
    <row r="212" spans="1:14" ht="82.8" x14ac:dyDescent="0.25">
      <c r="A212" s="860"/>
      <c r="B212" s="860"/>
      <c r="C212" s="860"/>
      <c r="D212" s="860"/>
      <c r="E212" s="860"/>
      <c r="F212" s="865"/>
      <c r="G212" s="612" t="s">
        <v>898</v>
      </c>
      <c r="H212" s="612" t="s">
        <v>899</v>
      </c>
      <c r="I212" s="612" t="s">
        <v>900</v>
      </c>
      <c r="J212" s="612" t="s">
        <v>34</v>
      </c>
      <c r="K212"/>
      <c r="L212" s="32"/>
      <c r="M212" s="32"/>
      <c r="N212" s="4"/>
    </row>
    <row r="213" spans="1:14" x14ac:dyDescent="0.25">
      <c r="A213" s="613">
        <v>1</v>
      </c>
      <c r="B213" s="860">
        <v>2</v>
      </c>
      <c r="C213" s="860"/>
      <c r="D213" s="613">
        <v>3</v>
      </c>
      <c r="E213" s="613">
        <v>4</v>
      </c>
      <c r="F213" s="21" t="s">
        <v>402</v>
      </c>
      <c r="G213" s="613">
        <v>5</v>
      </c>
      <c r="H213" s="613">
        <v>6</v>
      </c>
      <c r="I213" s="613">
        <v>7</v>
      </c>
      <c r="J213" s="613">
        <v>8</v>
      </c>
      <c r="K213"/>
      <c r="L213" s="32"/>
      <c r="M213" s="32"/>
      <c r="N213" s="4"/>
    </row>
    <row r="214" spans="1:14" x14ac:dyDescent="0.25">
      <c r="A214" s="613" t="s">
        <v>191</v>
      </c>
      <c r="B214" s="869" t="s">
        <v>967</v>
      </c>
      <c r="C214" s="869"/>
      <c r="D214" s="613">
        <v>26000</v>
      </c>
      <c r="E214" s="613" t="s">
        <v>37</v>
      </c>
      <c r="F214" s="656"/>
      <c r="G214" s="41"/>
      <c r="H214" s="41"/>
      <c r="I214" s="41"/>
      <c r="J214" s="41"/>
      <c r="K214"/>
      <c r="L214" s="32"/>
      <c r="M214" s="32"/>
      <c r="N214" s="4"/>
    </row>
    <row r="215" spans="1:14" ht="150" customHeight="1" x14ac:dyDescent="0.25">
      <c r="A215" s="613" t="s">
        <v>193</v>
      </c>
      <c r="B215" s="869" t="s">
        <v>968</v>
      </c>
      <c r="C215" s="869"/>
      <c r="D215" s="613">
        <v>26100</v>
      </c>
      <c r="E215" s="613" t="s">
        <v>37</v>
      </c>
      <c r="F215" s="656"/>
      <c r="G215" s="41"/>
      <c r="H215" s="41"/>
      <c r="I215" s="41"/>
      <c r="J215" s="41"/>
      <c r="K215"/>
      <c r="L215" s="32"/>
      <c r="M215" s="32"/>
    </row>
    <row r="216" spans="1:14" ht="61.5" customHeight="1" x14ac:dyDescent="0.25">
      <c r="A216" s="613" t="s">
        <v>195</v>
      </c>
      <c r="B216" s="869" t="s">
        <v>969</v>
      </c>
      <c r="C216" s="869"/>
      <c r="D216" s="613">
        <v>26200</v>
      </c>
      <c r="E216" s="613" t="s">
        <v>37</v>
      </c>
      <c r="F216" s="656"/>
      <c r="G216" s="41"/>
      <c r="H216" s="41"/>
      <c r="I216" s="41"/>
      <c r="J216" s="41"/>
      <c r="K216"/>
      <c r="L216" s="32"/>
      <c r="M216" s="32"/>
      <c r="N216" s="4"/>
    </row>
    <row r="217" spans="1:14" ht="60" customHeight="1" x14ac:dyDescent="0.25">
      <c r="A217" s="613" t="s">
        <v>197</v>
      </c>
      <c r="B217" s="869" t="s">
        <v>970</v>
      </c>
      <c r="C217" s="869"/>
      <c r="D217" s="613">
        <v>26300</v>
      </c>
      <c r="E217" s="613" t="s">
        <v>37</v>
      </c>
      <c r="F217" s="656"/>
      <c r="G217" s="41"/>
      <c r="H217" s="41"/>
      <c r="I217" s="41"/>
      <c r="J217" s="41"/>
      <c r="K217"/>
      <c r="L217" s="32"/>
      <c r="M217" s="32"/>
    </row>
    <row r="218" spans="1:14" ht="29.25" customHeight="1" x14ac:dyDescent="0.25">
      <c r="A218" s="613"/>
      <c r="B218" s="869" t="s">
        <v>198</v>
      </c>
      <c r="C218" s="869"/>
      <c r="D218" s="613"/>
      <c r="E218" s="613"/>
      <c r="F218" s="656"/>
      <c r="G218" s="41"/>
      <c r="H218" s="41"/>
      <c r="I218" s="41"/>
      <c r="J218" s="41"/>
      <c r="K218"/>
      <c r="L218" s="32"/>
      <c r="M218" s="32"/>
      <c r="N218" s="4"/>
    </row>
    <row r="219" spans="1:14" ht="16.5" customHeight="1" x14ac:dyDescent="0.25">
      <c r="A219" s="613"/>
      <c r="B219" s="869" t="s">
        <v>199</v>
      </c>
      <c r="C219" s="869"/>
      <c r="D219" s="613"/>
      <c r="E219" s="613"/>
      <c r="F219" s="656"/>
      <c r="G219" s="41"/>
      <c r="H219" s="41"/>
      <c r="I219" s="41"/>
      <c r="J219" s="41"/>
      <c r="K219"/>
      <c r="L219" s="32"/>
      <c r="M219" s="32"/>
      <c r="N219" s="4"/>
    </row>
    <row r="220" spans="1:14" ht="30" customHeight="1" x14ac:dyDescent="0.25">
      <c r="A220" s="21" t="s">
        <v>934</v>
      </c>
      <c r="B220" s="869" t="s">
        <v>933</v>
      </c>
      <c r="C220" s="869"/>
      <c r="D220" s="656">
        <v>26310</v>
      </c>
      <c r="E220" s="656" t="s">
        <v>37</v>
      </c>
      <c r="F220" s="656" t="s">
        <v>37</v>
      </c>
      <c r="G220" s="41"/>
      <c r="H220" s="41"/>
      <c r="I220" s="41"/>
      <c r="J220" s="41"/>
      <c r="K220"/>
      <c r="L220" s="32"/>
      <c r="M220" s="32"/>
      <c r="N220" s="4"/>
    </row>
    <row r="221" spans="1:14" ht="16.5" customHeight="1" x14ac:dyDescent="0.25">
      <c r="A221" s="656"/>
      <c r="B221" s="870" t="s">
        <v>972</v>
      </c>
      <c r="C221" s="871"/>
      <c r="D221" s="656" t="s">
        <v>405</v>
      </c>
      <c r="E221" s="656"/>
      <c r="F221" s="656"/>
      <c r="G221" s="41"/>
      <c r="H221" s="41"/>
      <c r="I221" s="41"/>
      <c r="J221" s="41"/>
      <c r="K221"/>
      <c r="L221" s="32"/>
      <c r="M221" s="32"/>
      <c r="N221" s="4"/>
    </row>
    <row r="222" spans="1:14" ht="16.5" customHeight="1" x14ac:dyDescent="0.25">
      <c r="A222" s="21" t="s">
        <v>935</v>
      </c>
      <c r="B222" s="869" t="s">
        <v>936</v>
      </c>
      <c r="C222" s="869"/>
      <c r="D222" s="656">
        <v>26320</v>
      </c>
      <c r="E222" s="656" t="s">
        <v>37</v>
      </c>
      <c r="F222" s="656" t="s">
        <v>37</v>
      </c>
      <c r="G222" s="41"/>
      <c r="H222" s="41"/>
      <c r="I222" s="41"/>
      <c r="J222" s="41"/>
      <c r="K222"/>
      <c r="L222" s="32"/>
      <c r="M222" s="32"/>
      <c r="N222" s="4"/>
    </row>
    <row r="223" spans="1:14" ht="59.25" customHeight="1" x14ac:dyDescent="0.25">
      <c r="A223" s="656" t="s">
        <v>200</v>
      </c>
      <c r="B223" s="869" t="s">
        <v>971</v>
      </c>
      <c r="C223" s="869"/>
      <c r="D223" s="613">
        <v>26400</v>
      </c>
      <c r="E223" s="613" t="s">
        <v>37</v>
      </c>
      <c r="F223" s="656"/>
      <c r="G223" s="41"/>
      <c r="H223" s="41"/>
      <c r="I223" s="41"/>
      <c r="J223" s="41"/>
      <c r="K223"/>
      <c r="L223" s="32"/>
      <c r="M223" s="32"/>
      <c r="N223" s="4"/>
    </row>
    <row r="224" spans="1:14" ht="45.75" customHeight="1" x14ac:dyDescent="0.25">
      <c r="A224" s="613" t="s">
        <v>201</v>
      </c>
      <c r="B224" s="869" t="s">
        <v>202</v>
      </c>
      <c r="C224" s="869"/>
      <c r="D224" s="613">
        <v>26410</v>
      </c>
      <c r="E224" s="613" t="s">
        <v>37</v>
      </c>
      <c r="F224" s="656"/>
      <c r="G224" s="41"/>
      <c r="H224" s="41"/>
      <c r="I224" s="41"/>
      <c r="J224" s="41"/>
      <c r="K224"/>
      <c r="L224" s="32"/>
      <c r="M224" s="32"/>
      <c r="N224" s="4"/>
    </row>
    <row r="225" spans="1:14" ht="29.25" customHeight="1" x14ac:dyDescent="0.25">
      <c r="A225" s="613" t="s">
        <v>203</v>
      </c>
      <c r="B225" s="869" t="s">
        <v>198</v>
      </c>
      <c r="C225" s="869"/>
      <c r="D225" s="613">
        <v>26411</v>
      </c>
      <c r="E225" s="613" t="s">
        <v>37</v>
      </c>
      <c r="F225" s="656"/>
      <c r="G225" s="41"/>
      <c r="H225" s="41"/>
      <c r="I225" s="41"/>
      <c r="J225" s="41"/>
      <c r="K225"/>
      <c r="L225" s="32"/>
      <c r="M225" s="32"/>
      <c r="N225" s="4"/>
    </row>
    <row r="226" spans="1:14" ht="16.5" customHeight="1" x14ac:dyDescent="0.25">
      <c r="A226" s="613" t="s">
        <v>204</v>
      </c>
      <c r="B226" s="869" t="s">
        <v>973</v>
      </c>
      <c r="C226" s="869"/>
      <c r="D226" s="613">
        <v>26412</v>
      </c>
      <c r="E226" s="613" t="s">
        <v>37</v>
      </c>
      <c r="F226" s="656"/>
      <c r="G226" s="41"/>
      <c r="H226" s="41"/>
      <c r="I226" s="41"/>
      <c r="J226" s="41"/>
      <c r="K226"/>
      <c r="L226" s="32"/>
      <c r="M226" s="32"/>
      <c r="N226" s="4"/>
    </row>
    <row r="227" spans="1:14" ht="46.5" customHeight="1" x14ac:dyDescent="0.25">
      <c r="A227" s="613" t="s">
        <v>205</v>
      </c>
      <c r="B227" s="869" t="s">
        <v>901</v>
      </c>
      <c r="C227" s="869"/>
      <c r="D227" s="613">
        <v>26420</v>
      </c>
      <c r="E227" s="613" t="s">
        <v>37</v>
      </c>
      <c r="F227" s="656"/>
      <c r="G227" s="41"/>
      <c r="H227" s="41"/>
      <c r="I227" s="41"/>
      <c r="J227" s="41"/>
      <c r="K227"/>
      <c r="L227" s="32"/>
      <c r="M227" s="32"/>
      <c r="N227" s="4"/>
    </row>
    <row r="228" spans="1:14" ht="30.75" customHeight="1" x14ac:dyDescent="0.25">
      <c r="A228" s="613" t="s">
        <v>206</v>
      </c>
      <c r="B228" s="869" t="s">
        <v>198</v>
      </c>
      <c r="C228" s="869"/>
      <c r="D228" s="613">
        <v>26421</v>
      </c>
      <c r="E228" s="613" t="s">
        <v>37</v>
      </c>
      <c r="F228" s="656"/>
      <c r="G228" s="41"/>
      <c r="H228" s="41"/>
      <c r="I228" s="41"/>
      <c r="J228" s="41"/>
      <c r="K228"/>
      <c r="L228" s="32"/>
      <c r="M228" s="32"/>
      <c r="N228" s="4"/>
    </row>
    <row r="229" spans="1:14" x14ac:dyDescent="0.25">
      <c r="A229" s="656"/>
      <c r="B229" s="870" t="s">
        <v>972</v>
      </c>
      <c r="C229" s="871"/>
      <c r="D229" s="656" t="s">
        <v>406</v>
      </c>
      <c r="E229" s="656" t="s">
        <v>37</v>
      </c>
      <c r="F229" s="656"/>
      <c r="G229" s="41"/>
      <c r="H229" s="41"/>
      <c r="I229" s="41"/>
      <c r="J229" s="41"/>
      <c r="K229"/>
      <c r="L229" s="32"/>
      <c r="M229" s="32"/>
      <c r="N229" s="4"/>
    </row>
    <row r="230" spans="1:14" ht="15" customHeight="1" x14ac:dyDescent="0.25">
      <c r="A230" s="613" t="s">
        <v>207</v>
      </c>
      <c r="B230" s="869" t="s">
        <v>973</v>
      </c>
      <c r="C230" s="869"/>
      <c r="D230" s="613">
        <v>26422</v>
      </c>
      <c r="E230" s="613" t="s">
        <v>37</v>
      </c>
      <c r="F230" s="656"/>
      <c r="G230" s="41"/>
      <c r="H230" s="41"/>
      <c r="I230" s="41"/>
      <c r="J230" s="41"/>
      <c r="K230"/>
      <c r="L230" s="32"/>
      <c r="M230" s="32"/>
      <c r="N230" s="4"/>
    </row>
    <row r="231" spans="1:14" ht="30" customHeight="1" x14ac:dyDescent="0.25">
      <c r="A231" s="613" t="s">
        <v>208</v>
      </c>
      <c r="B231" s="869" t="s">
        <v>974</v>
      </c>
      <c r="C231" s="869"/>
      <c r="D231" s="613">
        <v>26430</v>
      </c>
      <c r="E231" s="613" t="s">
        <v>37</v>
      </c>
      <c r="F231" s="656"/>
      <c r="G231" s="41"/>
      <c r="H231" s="41"/>
      <c r="I231" s="41"/>
      <c r="J231" s="41"/>
      <c r="K231"/>
      <c r="L231" s="32"/>
      <c r="M231" s="32"/>
      <c r="N231" s="4"/>
    </row>
    <row r="232" spans="1:14" x14ac:dyDescent="0.25">
      <c r="A232" s="656"/>
      <c r="B232" s="870" t="s">
        <v>972</v>
      </c>
      <c r="C232" s="871"/>
      <c r="D232" s="656" t="s">
        <v>410</v>
      </c>
      <c r="E232" s="656" t="s">
        <v>37</v>
      </c>
      <c r="F232" s="656"/>
      <c r="G232" s="41"/>
      <c r="H232" s="41"/>
      <c r="I232" s="41"/>
      <c r="J232" s="41"/>
      <c r="K232"/>
      <c r="L232" s="32"/>
      <c r="M232" s="32"/>
      <c r="N232" s="4"/>
    </row>
    <row r="233" spans="1:14" x14ac:dyDescent="0.25">
      <c r="A233" s="613" t="s">
        <v>210</v>
      </c>
      <c r="B233" s="869" t="s">
        <v>211</v>
      </c>
      <c r="C233" s="869"/>
      <c r="D233" s="613">
        <v>26450</v>
      </c>
      <c r="E233" s="613" t="s">
        <v>37</v>
      </c>
      <c r="F233" s="656"/>
      <c r="G233" s="41"/>
      <c r="H233" s="41"/>
      <c r="I233" s="41"/>
      <c r="J233" s="41"/>
      <c r="K233"/>
      <c r="L233" s="32"/>
      <c r="M233" s="32"/>
      <c r="N233" s="4"/>
    </row>
    <row r="234" spans="1:14" ht="30.75" customHeight="1" x14ac:dyDescent="0.25">
      <c r="A234" s="613" t="s">
        <v>212</v>
      </c>
      <c r="B234" s="869" t="s">
        <v>198</v>
      </c>
      <c r="C234" s="869"/>
      <c r="D234" s="613">
        <v>26451</v>
      </c>
      <c r="E234" s="613" t="s">
        <v>37</v>
      </c>
      <c r="F234" s="656"/>
      <c r="G234" s="41"/>
      <c r="H234" s="41"/>
      <c r="I234" s="41"/>
      <c r="J234" s="41"/>
      <c r="K234"/>
      <c r="L234" s="32"/>
      <c r="M234" s="32"/>
      <c r="N234" s="4"/>
    </row>
    <row r="235" spans="1:14" x14ac:dyDescent="0.25">
      <c r="A235" s="656"/>
      <c r="B235" s="870" t="s">
        <v>972</v>
      </c>
      <c r="C235" s="871"/>
      <c r="D235" s="656" t="s">
        <v>411</v>
      </c>
      <c r="E235" s="656" t="s">
        <v>37</v>
      </c>
      <c r="F235" s="656"/>
      <c r="G235" s="41"/>
      <c r="H235" s="41"/>
      <c r="I235" s="41"/>
      <c r="J235" s="41"/>
      <c r="K235"/>
      <c r="L235" s="32"/>
      <c r="M235" s="32"/>
      <c r="N235" s="4"/>
    </row>
    <row r="236" spans="1:14" x14ac:dyDescent="0.25">
      <c r="A236" s="613" t="s">
        <v>213</v>
      </c>
      <c r="B236" s="869" t="s">
        <v>199</v>
      </c>
      <c r="C236" s="869"/>
      <c r="D236" s="613">
        <v>26452</v>
      </c>
      <c r="E236" s="613" t="s">
        <v>37</v>
      </c>
      <c r="F236" s="656"/>
      <c r="G236" s="41"/>
      <c r="H236" s="41"/>
      <c r="I236" s="41"/>
      <c r="J236" s="41"/>
      <c r="K236"/>
      <c r="L236" s="32"/>
      <c r="M236" s="32"/>
      <c r="N236" s="4"/>
    </row>
    <row r="237" spans="1:14" ht="61.5" customHeight="1" x14ac:dyDescent="0.25">
      <c r="A237" s="613" t="s">
        <v>214</v>
      </c>
      <c r="B237" s="869" t="s">
        <v>902</v>
      </c>
      <c r="C237" s="869"/>
      <c r="D237" s="613">
        <v>26500</v>
      </c>
      <c r="E237" s="613" t="s">
        <v>37</v>
      </c>
      <c r="F237" s="656"/>
      <c r="G237" s="41"/>
      <c r="H237" s="41"/>
      <c r="I237" s="41"/>
      <c r="J237" s="41"/>
      <c r="K237"/>
      <c r="L237" s="32"/>
      <c r="M237" s="32"/>
      <c r="N237" s="4"/>
    </row>
    <row r="238" spans="1:14" x14ac:dyDescent="0.25">
      <c r="A238" s="41"/>
      <c r="B238" s="869" t="s">
        <v>937</v>
      </c>
      <c r="C238" s="869"/>
      <c r="D238" s="613">
        <v>26510</v>
      </c>
      <c r="E238" s="613"/>
      <c r="F238" s="656"/>
      <c r="G238" s="41"/>
      <c r="H238" s="41"/>
      <c r="I238" s="41"/>
      <c r="J238" s="41"/>
      <c r="K238"/>
      <c r="L238" s="32"/>
      <c r="M238" s="32"/>
      <c r="N238" s="4"/>
    </row>
    <row r="239" spans="1:14" ht="60.75" customHeight="1" x14ac:dyDescent="0.25">
      <c r="A239" s="613" t="s">
        <v>219</v>
      </c>
      <c r="B239" s="869" t="s">
        <v>220</v>
      </c>
      <c r="C239" s="869"/>
      <c r="D239" s="613">
        <v>26600</v>
      </c>
      <c r="E239" s="613" t="s">
        <v>37</v>
      </c>
      <c r="F239" s="656"/>
      <c r="G239" s="41"/>
      <c r="H239" s="41"/>
      <c r="I239" s="41"/>
      <c r="J239" s="41"/>
      <c r="K239"/>
      <c r="L239" s="32"/>
      <c r="M239" s="32"/>
      <c r="N239" s="4"/>
    </row>
    <row r="240" spans="1:14" x14ac:dyDescent="0.25">
      <c r="A240" s="41"/>
      <c r="B240" s="869" t="s">
        <v>937</v>
      </c>
      <c r="C240" s="869"/>
      <c r="D240" s="613">
        <v>26610</v>
      </c>
      <c r="E240" s="613"/>
      <c r="F240" s="656"/>
      <c r="G240" s="41"/>
      <c r="H240" s="41"/>
      <c r="I240" s="41"/>
      <c r="J240" s="41"/>
      <c r="K240"/>
      <c r="L240" s="32"/>
      <c r="M240" s="32"/>
      <c r="N240" s="4"/>
    </row>
    <row r="241" spans="1:13" x14ac:dyDescent="0.25">
      <c r="K241" s="32"/>
      <c r="L241" s="32"/>
    </row>
    <row r="242" spans="1:13" x14ac:dyDescent="0.25">
      <c r="K242" s="32"/>
      <c r="L242" s="32"/>
    </row>
    <row r="243" spans="1:13" s="1" customFormat="1" x14ac:dyDescent="0.25">
      <c r="B243" s="6" t="s">
        <v>221</v>
      </c>
      <c r="C243" s="872" t="s">
        <v>903</v>
      </c>
      <c r="D243" s="872"/>
      <c r="E243" s="42"/>
      <c r="F243" s="875" t="s">
        <v>903</v>
      </c>
      <c r="G243" s="875"/>
      <c r="J243"/>
      <c r="K243" s="32"/>
      <c r="L243" s="32"/>
      <c r="M243" s="4"/>
    </row>
    <row r="244" spans="1:13" s="1" customFormat="1" x14ac:dyDescent="0.25">
      <c r="B244" s="6"/>
      <c r="C244" s="874" t="s">
        <v>222</v>
      </c>
      <c r="D244" s="874"/>
      <c r="E244" s="616" t="s">
        <v>223</v>
      </c>
      <c r="F244" s="874" t="s">
        <v>224</v>
      </c>
      <c r="G244" s="874"/>
      <c r="J244"/>
      <c r="K244" s="32"/>
      <c r="L244" s="32"/>
      <c r="M244" s="4"/>
    </row>
    <row r="245" spans="1:13" x14ac:dyDescent="0.25">
      <c r="K245" s="32"/>
      <c r="L245" s="32"/>
    </row>
    <row r="246" spans="1:13" s="1" customFormat="1" x14ac:dyDescent="0.25">
      <c r="B246" s="6" t="s">
        <v>225</v>
      </c>
      <c r="C246" s="872" t="s">
        <v>903</v>
      </c>
      <c r="D246" s="872"/>
      <c r="E246" s="873"/>
      <c r="F246" s="873"/>
      <c r="G246" s="625" t="s">
        <v>903</v>
      </c>
      <c r="J246"/>
      <c r="K246" s="32"/>
      <c r="L246" s="32"/>
      <c r="M246" s="4"/>
    </row>
    <row r="247" spans="1:13" s="1" customFormat="1" x14ac:dyDescent="0.25">
      <c r="B247" s="6"/>
      <c r="C247" s="874" t="s">
        <v>226</v>
      </c>
      <c r="D247" s="874"/>
      <c r="E247" s="874" t="s">
        <v>227</v>
      </c>
      <c r="F247" s="874"/>
      <c r="G247" s="616" t="s">
        <v>228</v>
      </c>
      <c r="J247"/>
      <c r="K247" s="32"/>
      <c r="L247" s="32"/>
      <c r="M247" s="4"/>
    </row>
    <row r="248" spans="1:13" x14ac:dyDescent="0.25">
      <c r="K248" s="32"/>
      <c r="L248" s="32"/>
    </row>
    <row r="249" spans="1:13" s="1" customFormat="1" x14ac:dyDescent="0.25">
      <c r="B249" s="2" t="s">
        <v>904</v>
      </c>
      <c r="J249"/>
      <c r="K249" s="32"/>
      <c r="L249" s="32"/>
      <c r="M249" s="4"/>
    </row>
    <row r="250" spans="1:13" x14ac:dyDescent="0.25">
      <c r="A250" s="18"/>
      <c r="B250" s="622"/>
      <c r="K250" s="32"/>
      <c r="L250" s="32"/>
    </row>
    <row r="251" spans="1:13" ht="30" customHeight="1" x14ac:dyDescent="0.25">
      <c r="A251" s="876" t="s">
        <v>975</v>
      </c>
      <c r="B251" s="876"/>
      <c r="C251" s="876"/>
      <c r="D251" s="876"/>
      <c r="E251" s="876"/>
      <c r="F251" s="876"/>
      <c r="G251" s="876"/>
      <c r="H251" s="876"/>
      <c r="I251" s="876"/>
      <c r="J251" s="876"/>
    </row>
    <row r="252" spans="1:13" ht="105" customHeight="1" x14ac:dyDescent="0.25">
      <c r="A252" s="876" t="s">
        <v>976</v>
      </c>
      <c r="B252" s="876"/>
      <c r="C252" s="876"/>
      <c r="D252" s="876"/>
      <c r="E252" s="876"/>
      <c r="F252" s="876"/>
      <c r="G252" s="876"/>
      <c r="H252" s="876"/>
      <c r="I252" s="876"/>
      <c r="J252" s="876"/>
    </row>
    <row r="253" spans="1:13" ht="90.75" customHeight="1" x14ac:dyDescent="0.25">
      <c r="A253" s="876" t="s">
        <v>977</v>
      </c>
      <c r="B253" s="876"/>
      <c r="C253" s="876"/>
      <c r="D253" s="876"/>
      <c r="E253" s="876"/>
      <c r="F253" s="876"/>
      <c r="G253" s="876"/>
      <c r="H253" s="876"/>
      <c r="I253" s="876"/>
      <c r="J253" s="876"/>
    </row>
    <row r="254" spans="1:13" ht="30.75" customHeight="1" x14ac:dyDescent="0.25">
      <c r="A254" s="876" t="s">
        <v>978</v>
      </c>
      <c r="B254" s="876"/>
      <c r="C254" s="876"/>
      <c r="D254" s="876"/>
      <c r="E254" s="876"/>
      <c r="F254" s="876"/>
      <c r="G254" s="876"/>
      <c r="H254" s="876"/>
      <c r="I254" s="876"/>
      <c r="J254" s="876"/>
    </row>
    <row r="255" spans="1:13" x14ac:dyDescent="0.25">
      <c r="A255" s="876" t="s">
        <v>979</v>
      </c>
      <c r="B255" s="876"/>
      <c r="C255" s="876"/>
      <c r="D255" s="876"/>
      <c r="E255" s="876"/>
      <c r="F255" s="876"/>
      <c r="G255" s="876"/>
      <c r="H255" s="876"/>
      <c r="I255" s="876"/>
      <c r="J255" s="876"/>
    </row>
    <row r="256" spans="1:13" x14ac:dyDescent="0.25">
      <c r="A256" s="876" t="s">
        <v>980</v>
      </c>
      <c r="B256" s="876"/>
      <c r="C256" s="876"/>
      <c r="D256" s="876"/>
      <c r="E256" s="876"/>
      <c r="F256" s="876"/>
      <c r="G256" s="876"/>
      <c r="H256" s="876"/>
      <c r="I256" s="876"/>
      <c r="J256" s="876"/>
    </row>
    <row r="257" spans="1:10" x14ac:dyDescent="0.25">
      <c r="A257" s="876" t="s">
        <v>981</v>
      </c>
      <c r="B257" s="876"/>
      <c r="C257" s="876"/>
      <c r="D257" s="876"/>
      <c r="E257" s="876"/>
      <c r="F257" s="876"/>
      <c r="G257" s="876"/>
      <c r="H257" s="876"/>
      <c r="I257" s="876"/>
      <c r="J257" s="876"/>
    </row>
  </sheetData>
  <mergeCells count="93">
    <mergeCell ref="A252:J252"/>
    <mergeCell ref="A251:J251"/>
    <mergeCell ref="A257:J257"/>
    <mergeCell ref="A256:J256"/>
    <mergeCell ref="A255:J255"/>
    <mergeCell ref="A254:J254"/>
    <mergeCell ref="A253:J253"/>
    <mergeCell ref="A199:J199"/>
    <mergeCell ref="A201:J201"/>
    <mergeCell ref="A202:J202"/>
    <mergeCell ref="A208:J208"/>
    <mergeCell ref="A207:B207"/>
    <mergeCell ref="A206:J206"/>
    <mergeCell ref="A205:J205"/>
    <mergeCell ref="A204:J204"/>
    <mergeCell ref="A203:J203"/>
    <mergeCell ref="C246:D246"/>
    <mergeCell ref="E246:F246"/>
    <mergeCell ref="C247:D247"/>
    <mergeCell ref="E247:F247"/>
    <mergeCell ref="C243:D243"/>
    <mergeCell ref="F243:G243"/>
    <mergeCell ref="C244:D244"/>
    <mergeCell ref="F244:G244"/>
    <mergeCell ref="B240:C240"/>
    <mergeCell ref="B228:C228"/>
    <mergeCell ref="B230:C230"/>
    <mergeCell ref="B231:C231"/>
    <mergeCell ref="B233:C233"/>
    <mergeCell ref="B234:C234"/>
    <mergeCell ref="B236:C236"/>
    <mergeCell ref="B237:C237"/>
    <mergeCell ref="B238:C238"/>
    <mergeCell ref="B239:C239"/>
    <mergeCell ref="B229:C229"/>
    <mergeCell ref="B232:C232"/>
    <mergeCell ref="B235:C235"/>
    <mergeCell ref="B227:C227"/>
    <mergeCell ref="B213:C213"/>
    <mergeCell ref="B214:C214"/>
    <mergeCell ref="B215:C215"/>
    <mergeCell ref="B216:C216"/>
    <mergeCell ref="B217:C217"/>
    <mergeCell ref="B218:C218"/>
    <mergeCell ref="B219:C219"/>
    <mergeCell ref="B223:C223"/>
    <mergeCell ref="B224:C224"/>
    <mergeCell ref="B225:C225"/>
    <mergeCell ref="B226:C226"/>
    <mergeCell ref="B220:C220"/>
    <mergeCell ref="B221:C221"/>
    <mergeCell ref="B222:C222"/>
    <mergeCell ref="B209:I209"/>
    <mergeCell ref="A211:A212"/>
    <mergeCell ref="B211:C212"/>
    <mergeCell ref="D211:D212"/>
    <mergeCell ref="E211:E212"/>
    <mergeCell ref="F211:F212"/>
    <mergeCell ref="G211:J211"/>
    <mergeCell ref="H42:H44"/>
    <mergeCell ref="I42:I44"/>
    <mergeCell ref="H45:H46"/>
    <mergeCell ref="I45:I46"/>
    <mergeCell ref="B53:I53"/>
    <mergeCell ref="B55:B56"/>
    <mergeCell ref="C55:C56"/>
    <mergeCell ref="D55:D56"/>
    <mergeCell ref="E55:E56"/>
    <mergeCell ref="F55:I55"/>
    <mergeCell ref="H36:H37"/>
    <mergeCell ref="I36:I37"/>
    <mergeCell ref="G38:H39"/>
    <mergeCell ref="I38:I39"/>
    <mergeCell ref="H40:H41"/>
    <mergeCell ref="I40:I41"/>
    <mergeCell ref="B26:I26"/>
    <mergeCell ref="B27:I27"/>
    <mergeCell ref="H32:H33"/>
    <mergeCell ref="I32:I33"/>
    <mergeCell ref="G34:H35"/>
    <mergeCell ref="I34:I35"/>
    <mergeCell ref="G20:H20"/>
    <mergeCell ref="G4:I4"/>
    <mergeCell ref="G5:I5"/>
    <mergeCell ref="G6:I6"/>
    <mergeCell ref="G8:I8"/>
    <mergeCell ref="G9:I9"/>
    <mergeCell ref="G11:H11"/>
    <mergeCell ref="G13:I13"/>
    <mergeCell ref="G14:I14"/>
    <mergeCell ref="G15:I15"/>
    <mergeCell ref="G17:I17"/>
    <mergeCell ref="G18:I18"/>
  </mergeCells>
  <pageMargins left="0" right="0" top="0" bottom="0" header="0" footer="0"/>
  <pageSetup paperSize="9" scale="70" fitToHeight="0" orientation="portrait" r:id="rId1"/>
  <rowBreaks count="2" manualBreakCount="2">
    <brk id="52" max="9" man="1"/>
    <brk id="121" max="9"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3">
    <outlinePr summaryBelow="0" summaryRight="0"/>
  </sheetPr>
  <dimension ref="A1:AF1442"/>
  <sheetViews>
    <sheetView view="pageBreakPreview" zoomScale="60" zoomScaleNormal="70" workbookViewId="0">
      <pane xSplit="17" ySplit="11" topLeftCell="R1150" activePane="bottomRight" state="frozen"/>
      <selection activeCell="P66" sqref="P66"/>
      <selection pane="topRight" activeCell="P66" sqref="P66"/>
      <selection pane="bottomLeft" activeCell="P66" sqref="P66"/>
      <selection pane="bottomRight" activeCell="Z105" sqref="Z105"/>
    </sheetView>
  </sheetViews>
  <sheetFormatPr defaultColWidth="9.109375" defaultRowHeight="13.8" outlineLevelRow="1" x14ac:dyDescent="0.25"/>
  <cols>
    <col min="1" max="1" width="20.33203125" style="49" customWidth="1"/>
    <col min="2" max="2" width="17.5546875" style="49" customWidth="1"/>
    <col min="3" max="3" width="18.88671875" style="49" customWidth="1"/>
    <col min="4" max="4" width="16" style="49" customWidth="1"/>
    <col min="5" max="5" width="19" style="49" customWidth="1"/>
    <col min="6" max="6" width="5.44140625" style="49" customWidth="1"/>
    <col min="7" max="7" width="18.33203125" style="49" customWidth="1"/>
    <col min="8" max="8" width="15.6640625" style="49" customWidth="1"/>
    <col min="9" max="9" width="13.109375" style="49" customWidth="1"/>
    <col min="10" max="10" width="11.44140625" style="49" customWidth="1"/>
    <col min="11" max="11" width="11.109375" style="49" customWidth="1"/>
    <col min="12" max="12" width="11.6640625" style="49" customWidth="1"/>
    <col min="13" max="13" width="6.44140625" style="49" customWidth="1"/>
    <col min="14" max="14" width="6.44140625" style="49" bestFit="1" customWidth="1"/>
    <col min="15" max="15" width="8.109375" style="76" bestFit="1" customWidth="1"/>
    <col min="16" max="16" width="8.88671875" style="76" bestFit="1" customWidth="1"/>
    <col min="17" max="17" width="8.6640625" style="76" customWidth="1"/>
    <col min="18" max="18" width="18.6640625" style="47" customWidth="1"/>
    <col min="19" max="19" width="28.33203125" style="47" customWidth="1"/>
    <col min="20" max="20" width="21.88671875" style="47" customWidth="1"/>
    <col min="21" max="21" width="16.88671875" style="47" bestFit="1" customWidth="1"/>
    <col min="22" max="22" width="25.44140625" style="47" customWidth="1"/>
    <col min="23" max="23" width="9.109375" style="49" customWidth="1"/>
    <col min="24" max="24" width="14.109375" style="49" customWidth="1"/>
    <col min="25" max="25" width="13.109375" style="49" customWidth="1"/>
    <col min="26" max="26" width="9.109375" style="49" customWidth="1"/>
    <col min="27" max="27" width="10.6640625" style="49" customWidth="1"/>
    <col min="28" max="28" width="13.6640625" style="49" customWidth="1"/>
    <col min="29" max="29" width="14.33203125" style="414" customWidth="1"/>
    <col min="30" max="30" width="15.33203125" style="471" customWidth="1"/>
    <col min="31" max="32" width="13" style="49" customWidth="1"/>
    <col min="33" max="16384" width="9.109375" style="49"/>
  </cols>
  <sheetData>
    <row r="1" spans="1:30" s="180" customFormat="1" ht="31.5" customHeight="1" x14ac:dyDescent="0.3">
      <c r="B1" s="992" t="s">
        <v>511</v>
      </c>
      <c r="C1" s="992"/>
      <c r="D1" s="992"/>
      <c r="E1" s="992"/>
      <c r="F1" s="992"/>
      <c r="G1" s="992"/>
      <c r="H1" s="992"/>
      <c r="I1" s="992"/>
      <c r="J1" s="992"/>
      <c r="K1" s="992"/>
      <c r="L1" s="992"/>
      <c r="M1" s="992"/>
      <c r="N1" s="992"/>
      <c r="O1" s="992"/>
      <c r="P1" s="992"/>
      <c r="Q1" s="992"/>
      <c r="R1" s="992"/>
      <c r="S1" s="992"/>
      <c r="T1" s="993" t="s">
        <v>789</v>
      </c>
      <c r="U1" s="993"/>
      <c r="V1" s="993"/>
      <c r="W1" s="180">
        <f>Форма!R1</f>
        <v>2024</v>
      </c>
      <c r="X1" s="180" t="s">
        <v>512</v>
      </c>
      <c r="AC1" s="469"/>
      <c r="AD1" s="470"/>
    </row>
    <row r="2" spans="1:30" s="180" customFormat="1" ht="15.6" x14ac:dyDescent="0.3">
      <c r="B2" s="181"/>
      <c r="D2" s="182"/>
      <c r="E2" s="182"/>
      <c r="F2" s="182"/>
      <c r="H2" s="183" t="str">
        <f>Форма!F57</f>
        <v>на 2024 г. текущий финансовый год</v>
      </c>
      <c r="I2" s="182"/>
      <c r="J2" s="182"/>
      <c r="K2" s="182"/>
      <c r="L2" s="182"/>
      <c r="M2" s="182"/>
      <c r="N2" s="182"/>
      <c r="O2" s="184"/>
      <c r="P2" s="184"/>
      <c r="Q2" s="428"/>
      <c r="R2" s="185"/>
      <c r="S2" s="186"/>
      <c r="T2" s="187" t="s">
        <v>11</v>
      </c>
      <c r="U2" s="585"/>
      <c r="V2" s="188" t="str">
        <f>Форма!C33</f>
        <v>« 24 » октября 2024 г.</v>
      </c>
      <c r="W2" s="180">
        <f>W1-1</f>
        <v>2023</v>
      </c>
      <c r="AB2" s="416"/>
      <c r="AC2" s="469"/>
      <c r="AD2" s="470"/>
    </row>
    <row r="3" spans="1:30" s="180" customFormat="1" ht="15.6" x14ac:dyDescent="0.3">
      <c r="B3" s="189"/>
      <c r="C3" s="189"/>
      <c r="D3" s="187" t="s">
        <v>25</v>
      </c>
      <c r="E3" s="994" t="str">
        <f>Форма!C42</f>
        <v>Муниципальное  автономное дошкольное образовательное</v>
      </c>
      <c r="F3" s="994"/>
      <c r="G3" s="994"/>
      <c r="H3" s="994"/>
      <c r="I3" s="994"/>
      <c r="J3" s="994"/>
      <c r="K3" s="182"/>
      <c r="L3" s="182"/>
      <c r="M3" s="182"/>
      <c r="N3" s="182"/>
      <c r="O3" s="184"/>
      <c r="P3" s="184"/>
      <c r="Q3" s="374"/>
      <c r="R3" s="185"/>
      <c r="S3" s="186"/>
      <c r="T3" s="186"/>
      <c r="U3" s="187"/>
      <c r="V3" s="188"/>
      <c r="AB3" s="416"/>
      <c r="AC3" s="469"/>
      <c r="AD3" s="470"/>
    </row>
    <row r="4" spans="1:30" s="180" customFormat="1" ht="15.6" x14ac:dyDescent="0.3">
      <c r="B4" s="994" t="str">
        <f>Форма!B43</f>
        <v xml:space="preserve">                 учреждение № 169 "Детский сад комбинированного вида"</v>
      </c>
      <c r="C4" s="994"/>
      <c r="D4" s="994"/>
      <c r="E4" s="994"/>
      <c r="F4" s="994"/>
      <c r="G4" s="994"/>
      <c r="H4" s="994"/>
      <c r="I4" s="994"/>
      <c r="J4" s="994"/>
      <c r="K4" s="182"/>
      <c r="L4" s="182"/>
      <c r="M4" s="182"/>
      <c r="N4" s="182"/>
      <c r="O4" s="184"/>
      <c r="P4" s="184"/>
      <c r="Q4" s="374"/>
      <c r="R4" s="185"/>
      <c r="S4" s="186"/>
      <c r="T4" s="186"/>
      <c r="U4" s="187"/>
      <c r="V4" s="188"/>
      <c r="X4" s="480"/>
      <c r="Y4" s="471"/>
      <c r="AB4" s="415"/>
      <c r="AC4" s="414"/>
      <c r="AD4" s="471"/>
    </row>
    <row r="5" spans="1:30" s="180" customFormat="1" ht="15.6" x14ac:dyDescent="0.3">
      <c r="B5" s="187" t="s">
        <v>27</v>
      </c>
      <c r="C5" s="183"/>
      <c r="D5" s="182"/>
      <c r="E5" s="182"/>
      <c r="F5" s="182"/>
      <c r="G5" s="182"/>
      <c r="H5" s="182"/>
      <c r="I5" s="182"/>
      <c r="J5" s="182"/>
      <c r="K5" s="182"/>
      <c r="L5" s="182"/>
      <c r="M5" s="182"/>
      <c r="N5" s="182"/>
      <c r="O5" s="184"/>
      <c r="P5" s="184"/>
      <c r="Q5" s="374"/>
      <c r="R5" s="185"/>
      <c r="S5" s="485"/>
      <c r="T5" s="186"/>
      <c r="U5" s="186"/>
      <c r="V5" s="186"/>
      <c r="X5" s="481"/>
      <c r="Y5" s="470"/>
      <c r="AB5" s="415"/>
      <c r="AC5" s="469"/>
      <c r="AD5" s="470"/>
    </row>
    <row r="6" spans="1:30" s="180" customFormat="1" ht="15.6" x14ac:dyDescent="0.3">
      <c r="B6" s="190"/>
      <c r="C6" s="182"/>
      <c r="D6" s="182"/>
      <c r="E6" s="182"/>
      <c r="F6" s="182"/>
      <c r="G6" s="182"/>
      <c r="H6" s="182"/>
      <c r="I6" s="182"/>
      <c r="J6" s="182"/>
      <c r="K6" s="182"/>
      <c r="L6" s="182"/>
      <c r="M6" s="182"/>
      <c r="N6" s="182"/>
      <c r="O6" s="184"/>
      <c r="P6" s="184"/>
      <c r="Q6" s="374"/>
      <c r="R6" s="185"/>
      <c r="S6" s="186"/>
      <c r="T6" s="186"/>
      <c r="U6" s="186"/>
      <c r="V6" s="186"/>
      <c r="X6" s="481"/>
      <c r="Y6" s="470"/>
      <c r="AB6" s="415"/>
      <c r="AC6" s="469"/>
      <c r="AD6" s="470"/>
    </row>
    <row r="7" spans="1:30" s="189" customFormat="1" ht="15.75" customHeight="1" x14ac:dyDescent="0.3">
      <c r="A7" s="995" t="s">
        <v>29</v>
      </c>
      <c r="B7" s="995"/>
      <c r="C7" s="995"/>
      <c r="D7" s="995"/>
      <c r="E7" s="995"/>
      <c r="F7" s="995"/>
      <c r="G7" s="995"/>
      <c r="H7" s="995"/>
      <c r="I7" s="995"/>
      <c r="J7" s="995"/>
      <c r="K7" s="995"/>
      <c r="L7" s="996"/>
      <c r="M7" s="997" t="s">
        <v>764</v>
      </c>
      <c r="N7" s="997" t="s">
        <v>233</v>
      </c>
      <c r="O7" s="997" t="s">
        <v>234</v>
      </c>
      <c r="P7" s="997" t="s">
        <v>1</v>
      </c>
      <c r="Q7" s="1000" t="s">
        <v>690</v>
      </c>
      <c r="R7" s="1000" t="s">
        <v>513</v>
      </c>
      <c r="S7" s="1001" t="s">
        <v>490</v>
      </c>
      <c r="T7" s="1002"/>
      <c r="U7" s="1002"/>
      <c r="V7" s="1003"/>
      <c r="X7" s="482"/>
      <c r="Y7" s="483"/>
      <c r="AC7" s="469"/>
      <c r="AD7" s="470"/>
    </row>
    <row r="8" spans="1:30" ht="15.75" customHeight="1" x14ac:dyDescent="0.25">
      <c r="A8" s="995"/>
      <c r="B8" s="995"/>
      <c r="C8" s="995"/>
      <c r="D8" s="995"/>
      <c r="E8" s="995"/>
      <c r="F8" s="995"/>
      <c r="G8" s="995"/>
      <c r="H8" s="995"/>
      <c r="I8" s="995"/>
      <c r="J8" s="995"/>
      <c r="K8" s="995"/>
      <c r="L8" s="996"/>
      <c r="M8" s="998"/>
      <c r="N8" s="998"/>
      <c r="O8" s="998"/>
      <c r="P8" s="998"/>
      <c r="Q8" s="1000"/>
      <c r="R8" s="1000"/>
      <c r="S8" s="989" t="s">
        <v>514</v>
      </c>
      <c r="T8" s="989" t="s">
        <v>174</v>
      </c>
      <c r="U8" s="989"/>
      <c r="V8" s="989" t="s">
        <v>515</v>
      </c>
      <c r="X8" s="484"/>
      <c r="Y8" s="250"/>
      <c r="AB8" s="45"/>
    </row>
    <row r="9" spans="1:30" ht="15.75" customHeight="1" x14ac:dyDescent="0.25">
      <c r="A9" s="995"/>
      <c r="B9" s="995"/>
      <c r="C9" s="995"/>
      <c r="D9" s="995"/>
      <c r="E9" s="995"/>
      <c r="F9" s="995"/>
      <c r="G9" s="995"/>
      <c r="H9" s="995"/>
      <c r="I9" s="995"/>
      <c r="J9" s="995"/>
      <c r="K9" s="995"/>
      <c r="L9" s="996"/>
      <c r="M9" s="998"/>
      <c r="N9" s="998"/>
      <c r="O9" s="998"/>
      <c r="P9" s="998"/>
      <c r="Q9" s="1000"/>
      <c r="R9" s="1000"/>
      <c r="S9" s="990"/>
      <c r="T9" s="990"/>
      <c r="U9" s="990"/>
      <c r="V9" s="990"/>
      <c r="X9" s="484"/>
      <c r="Y9" s="250"/>
    </row>
    <row r="10" spans="1:30" ht="96" customHeight="1" x14ac:dyDescent="0.25">
      <c r="A10" s="995"/>
      <c r="B10" s="995"/>
      <c r="C10" s="995"/>
      <c r="D10" s="995"/>
      <c r="E10" s="995"/>
      <c r="F10" s="995"/>
      <c r="G10" s="995"/>
      <c r="H10" s="995"/>
      <c r="I10" s="995"/>
      <c r="J10" s="995"/>
      <c r="K10" s="995"/>
      <c r="L10" s="996"/>
      <c r="M10" s="999"/>
      <c r="N10" s="999"/>
      <c r="O10" s="999"/>
      <c r="P10" s="999"/>
      <c r="Q10" s="1000"/>
      <c r="R10" s="1000"/>
      <c r="S10" s="991"/>
      <c r="T10" s="991"/>
      <c r="U10" s="991"/>
      <c r="V10" s="991"/>
      <c r="X10" s="484"/>
      <c r="Y10" s="250"/>
    </row>
    <row r="11" spans="1:30" s="195" customFormat="1" ht="15.75" customHeight="1" x14ac:dyDescent="0.25">
      <c r="A11" s="191"/>
      <c r="B11" s="192"/>
      <c r="C11" s="192"/>
      <c r="D11" s="192"/>
      <c r="E11" s="192"/>
      <c r="F11" s="192"/>
      <c r="G11" s="193">
        <v>1</v>
      </c>
      <c r="H11" s="192"/>
      <c r="I11" s="192"/>
      <c r="J11" s="192"/>
      <c r="K11" s="192"/>
      <c r="L11" s="192"/>
      <c r="M11" s="194">
        <f>G11+1</f>
        <v>2</v>
      </c>
      <c r="N11" s="194"/>
      <c r="O11" s="194">
        <f>M11+1</f>
        <v>3</v>
      </c>
      <c r="P11" s="194">
        <f>O11+1</f>
        <v>4</v>
      </c>
      <c r="Q11" s="194">
        <f t="shared" ref="Q11:V11" si="0">P11+1</f>
        <v>5</v>
      </c>
      <c r="R11" s="194">
        <f t="shared" si="0"/>
        <v>6</v>
      </c>
      <c r="S11" s="194">
        <f t="shared" si="0"/>
        <v>7</v>
      </c>
      <c r="T11" s="194">
        <f t="shared" si="0"/>
        <v>8</v>
      </c>
      <c r="U11" s="194">
        <f t="shared" si="0"/>
        <v>9</v>
      </c>
      <c r="V11" s="194">
        <f t="shared" si="0"/>
        <v>10</v>
      </c>
      <c r="AC11" s="472"/>
      <c r="AD11" s="473"/>
    </row>
    <row r="12" spans="1:30" ht="20.25" customHeight="1" x14ac:dyDescent="0.35">
      <c r="A12" s="196" t="s">
        <v>516</v>
      </c>
      <c r="B12" s="196"/>
      <c r="C12" s="196"/>
      <c r="D12" s="196"/>
      <c r="E12" s="196"/>
      <c r="F12" s="196"/>
      <c r="G12" s="196"/>
      <c r="H12" s="196"/>
      <c r="I12" s="196"/>
      <c r="J12" s="196"/>
      <c r="K12" s="196"/>
      <c r="L12" s="196"/>
      <c r="M12" s="489"/>
      <c r="N12" s="519"/>
      <c r="O12" s="197">
        <v>112</v>
      </c>
      <c r="P12" s="198" t="s">
        <v>37</v>
      </c>
      <c r="Q12" s="388"/>
      <c r="R12" s="199">
        <f>SUM(R13:R18)</f>
        <v>0</v>
      </c>
      <c r="S12" s="199">
        <f>SUM(S13:S18)</f>
        <v>0</v>
      </c>
      <c r="T12" s="199">
        <f>SUM(T13:T18)</f>
        <v>0</v>
      </c>
      <c r="U12" s="199">
        <f>SUM(U13:U18)</f>
        <v>0</v>
      </c>
      <c r="V12" s="199">
        <f>SUM(V13:V18)</f>
        <v>0</v>
      </c>
    </row>
    <row r="13" spans="1:30" s="189" customFormat="1" ht="15.6" x14ac:dyDescent="0.3">
      <c r="A13" s="200" t="s">
        <v>517</v>
      </c>
      <c r="B13" s="200"/>
      <c r="C13" s="200"/>
      <c r="D13" s="201"/>
      <c r="E13" s="202" t="s">
        <v>518</v>
      </c>
      <c r="F13" s="202" t="s">
        <v>519</v>
      </c>
      <c r="G13" s="203">
        <v>65</v>
      </c>
      <c r="H13" s="202" t="s">
        <v>520</v>
      </c>
      <c r="I13" s="208"/>
      <c r="J13" s="204"/>
      <c r="K13" s="202"/>
      <c r="L13" s="200"/>
      <c r="M13" s="490"/>
      <c r="N13" s="520" t="s">
        <v>758</v>
      </c>
      <c r="O13" s="205">
        <v>112</v>
      </c>
      <c r="P13" s="206">
        <v>266</v>
      </c>
      <c r="Q13" s="383">
        <v>12</v>
      </c>
      <c r="R13" s="207">
        <f t="shared" ref="R13:R18" si="1">SUM(S13,T13,U13,V13)</f>
        <v>0</v>
      </c>
      <c r="S13" s="207"/>
      <c r="T13" s="207"/>
      <c r="U13" s="207"/>
      <c r="V13" s="207"/>
      <c r="AC13" s="469"/>
      <c r="AD13" s="470"/>
    </row>
    <row r="14" spans="1:30" s="189" customFormat="1" ht="15.6" x14ac:dyDescent="0.3">
      <c r="A14" s="182" t="s">
        <v>517</v>
      </c>
      <c r="B14" s="182"/>
      <c r="C14" s="182"/>
      <c r="D14" s="210"/>
      <c r="E14" s="208" t="s">
        <v>518</v>
      </c>
      <c r="F14" s="208" t="s">
        <v>519</v>
      </c>
      <c r="G14" s="211">
        <v>65</v>
      </c>
      <c r="H14" s="208" t="s">
        <v>520</v>
      </c>
      <c r="I14" s="208"/>
      <c r="J14" s="209"/>
      <c r="K14" s="208"/>
      <c r="L14" s="182"/>
      <c r="M14" s="490"/>
      <c r="N14" s="520" t="s">
        <v>758</v>
      </c>
      <c r="O14" s="205">
        <v>112</v>
      </c>
      <c r="P14" s="206">
        <v>266</v>
      </c>
      <c r="Q14" s="383">
        <v>12</v>
      </c>
      <c r="R14" s="207">
        <f t="shared" si="1"/>
        <v>0</v>
      </c>
      <c r="S14" s="207"/>
      <c r="T14" s="207"/>
      <c r="U14" s="207"/>
      <c r="V14" s="207"/>
      <c r="AC14" s="469"/>
      <c r="AD14" s="470"/>
    </row>
    <row r="15" spans="1:30" s="189" customFormat="1" ht="15.6" x14ac:dyDescent="0.3">
      <c r="A15" s="182" t="s">
        <v>521</v>
      </c>
      <c r="B15" s="182"/>
      <c r="C15" s="182"/>
      <c r="D15" s="208"/>
      <c r="E15" s="208"/>
      <c r="F15" s="208"/>
      <c r="G15" s="209"/>
      <c r="H15" s="208"/>
      <c r="I15" s="208"/>
      <c r="J15" s="209"/>
      <c r="K15" s="208"/>
      <c r="L15" s="182"/>
      <c r="M15" s="490"/>
      <c r="N15" s="520"/>
      <c r="O15" s="205">
        <v>112</v>
      </c>
      <c r="P15" s="206">
        <v>226</v>
      </c>
      <c r="Q15" s="383"/>
      <c r="R15" s="207">
        <f t="shared" si="1"/>
        <v>0</v>
      </c>
      <c r="S15" s="207"/>
      <c r="T15" s="207"/>
      <c r="U15" s="207"/>
      <c r="V15" s="207"/>
      <c r="AC15" s="469"/>
      <c r="AD15" s="470"/>
    </row>
    <row r="16" spans="1:30" s="189" customFormat="1" ht="15.6" x14ac:dyDescent="0.3">
      <c r="A16" s="182" t="s">
        <v>522</v>
      </c>
      <c r="B16" s="182"/>
      <c r="C16" s="182"/>
      <c r="D16" s="208"/>
      <c r="E16" s="208"/>
      <c r="F16" s="208"/>
      <c r="G16" s="209"/>
      <c r="H16" s="208"/>
      <c r="I16" s="208"/>
      <c r="J16" s="209"/>
      <c r="K16" s="208"/>
      <c r="L16" s="182"/>
      <c r="M16" s="490"/>
      <c r="N16" s="520"/>
      <c r="O16" s="205">
        <v>112</v>
      </c>
      <c r="P16" s="206">
        <v>266</v>
      </c>
      <c r="Q16" s="383"/>
      <c r="R16" s="207">
        <f t="shared" si="1"/>
        <v>0</v>
      </c>
      <c r="S16" s="207"/>
      <c r="T16" s="207"/>
      <c r="U16" s="207"/>
      <c r="V16" s="207"/>
      <c r="AC16" s="469"/>
      <c r="AD16" s="470"/>
    </row>
    <row r="17" spans="1:30" s="189" customFormat="1" ht="15.6" x14ac:dyDescent="0.3">
      <c r="A17" s="182" t="s">
        <v>822</v>
      </c>
      <c r="B17" s="182"/>
      <c r="C17" s="210"/>
      <c r="D17" s="210"/>
      <c r="E17" s="210"/>
      <c r="F17" s="210"/>
      <c r="G17" s="208" t="s">
        <v>821</v>
      </c>
      <c r="H17" s="211"/>
      <c r="I17" s="211"/>
      <c r="J17" s="211"/>
      <c r="K17" s="211"/>
      <c r="L17" s="208" t="s">
        <v>520</v>
      </c>
      <c r="M17" s="491"/>
      <c r="N17" s="547" t="s">
        <v>294</v>
      </c>
      <c r="O17" s="205">
        <v>112</v>
      </c>
      <c r="P17" s="206">
        <v>226</v>
      </c>
      <c r="Q17" s="383"/>
      <c r="R17" s="207">
        <f t="shared" si="1"/>
        <v>0</v>
      </c>
      <c r="S17" s="207"/>
      <c r="T17" s="207"/>
      <c r="U17" s="207"/>
      <c r="V17" s="207"/>
      <c r="AC17" s="469"/>
      <c r="AD17" s="470"/>
    </row>
    <row r="18" spans="1:30" s="189" customFormat="1" ht="15.6" x14ac:dyDescent="0.3">
      <c r="A18" s="182" t="s">
        <v>523</v>
      </c>
      <c r="B18" s="212"/>
      <c r="C18" s="212"/>
      <c r="D18" s="212"/>
      <c r="E18" s="212"/>
      <c r="F18" s="212"/>
      <c r="G18" s="212"/>
      <c r="H18" s="213"/>
      <c r="I18" s="213"/>
      <c r="J18" s="213"/>
      <c r="K18" s="214"/>
      <c r="L18" s="213"/>
      <c r="M18" s="492"/>
      <c r="N18" s="521"/>
      <c r="O18" s="205">
        <v>112</v>
      </c>
      <c r="P18" s="206">
        <v>226</v>
      </c>
      <c r="Q18" s="383"/>
      <c r="R18" s="207">
        <f t="shared" si="1"/>
        <v>0</v>
      </c>
      <c r="S18" s="207"/>
      <c r="T18" s="207"/>
      <c r="U18" s="207"/>
      <c r="V18" s="207"/>
      <c r="AC18" s="469"/>
      <c r="AD18" s="470"/>
    </row>
    <row r="19" spans="1:30" ht="20.25" customHeight="1" x14ac:dyDescent="0.35">
      <c r="A19" s="196" t="s">
        <v>524</v>
      </c>
      <c r="B19" s="196"/>
      <c r="C19" s="196"/>
      <c r="D19" s="196"/>
      <c r="E19" s="196"/>
      <c r="F19" s="196"/>
      <c r="G19" s="196"/>
      <c r="H19" s="196"/>
      <c r="I19" s="196"/>
      <c r="J19" s="196"/>
      <c r="K19" s="196"/>
      <c r="L19" s="196"/>
      <c r="M19" s="489"/>
      <c r="N19" s="519"/>
      <c r="O19" s="197">
        <v>113</v>
      </c>
      <c r="P19" s="198" t="s">
        <v>37</v>
      </c>
      <c r="Q19" s="388"/>
      <c r="R19" s="199">
        <f>SUM(R20:R21)</f>
        <v>0</v>
      </c>
      <c r="S19" s="199">
        <f>SUM(S20:S21)</f>
        <v>0</v>
      </c>
      <c r="T19" s="199">
        <f>SUM(T20:T21)</f>
        <v>0</v>
      </c>
      <c r="U19" s="199">
        <f>SUM(U20:U21)</f>
        <v>0</v>
      </c>
      <c r="V19" s="199">
        <f>SUM(V20:V21)</f>
        <v>0</v>
      </c>
    </row>
    <row r="20" spans="1:30" s="189" customFormat="1" ht="15.6" outlineLevel="1" x14ac:dyDescent="0.3">
      <c r="A20" s="182"/>
      <c r="B20" s="182"/>
      <c r="C20" s="182"/>
      <c r="D20" s="208"/>
      <c r="E20" s="208"/>
      <c r="F20" s="208"/>
      <c r="G20" s="209"/>
      <c r="H20" s="208"/>
      <c r="I20" s="208"/>
      <c r="J20" s="209"/>
      <c r="K20" s="208"/>
      <c r="L20" s="182"/>
      <c r="M20" s="490"/>
      <c r="N20" s="520"/>
      <c r="O20" s="205">
        <v>113</v>
      </c>
      <c r="P20" s="206">
        <v>226</v>
      </c>
      <c r="Q20" s="383"/>
      <c r="R20" s="207">
        <f>SUM(S20,T20,U20,V20)</f>
        <v>0</v>
      </c>
      <c r="S20" s="207"/>
      <c r="T20" s="207"/>
      <c r="U20" s="207"/>
      <c r="V20" s="207"/>
      <c r="AC20" s="469"/>
      <c r="AD20" s="470"/>
    </row>
    <row r="21" spans="1:30" s="189" customFormat="1" ht="15.6" outlineLevel="1" x14ac:dyDescent="0.3">
      <c r="A21" s="182"/>
      <c r="B21" s="182"/>
      <c r="C21" s="182"/>
      <c r="D21" s="208"/>
      <c r="E21" s="208"/>
      <c r="F21" s="208"/>
      <c r="G21" s="209"/>
      <c r="H21" s="208"/>
      <c r="I21" s="208"/>
      <c r="J21" s="209"/>
      <c r="K21" s="208"/>
      <c r="L21" s="182"/>
      <c r="M21" s="490"/>
      <c r="N21" s="520"/>
      <c r="O21" s="205">
        <v>113</v>
      </c>
      <c r="P21" s="206">
        <v>226</v>
      </c>
      <c r="Q21" s="383"/>
      <c r="R21" s="207">
        <f>SUM(S21,T21,U21,V21)</f>
        <v>0</v>
      </c>
      <c r="S21" s="207"/>
      <c r="T21" s="207"/>
      <c r="U21" s="207"/>
      <c r="V21" s="207"/>
      <c r="AC21" s="469"/>
      <c r="AD21" s="470"/>
    </row>
    <row r="22" spans="1:30" ht="20.25" customHeight="1" x14ac:dyDescent="0.35">
      <c r="A22" s="196" t="s">
        <v>830</v>
      </c>
      <c r="B22" s="196"/>
      <c r="C22" s="196"/>
      <c r="D22" s="196"/>
      <c r="E22" s="196"/>
      <c r="F22" s="196"/>
      <c r="G22" s="196"/>
      <c r="H22" s="196"/>
      <c r="I22" s="196"/>
      <c r="J22" s="196"/>
      <c r="K22" s="196"/>
      <c r="L22" s="196"/>
      <c r="M22" s="489"/>
      <c r="N22" s="519"/>
      <c r="O22" s="197">
        <v>243</v>
      </c>
      <c r="P22" s="198" t="s">
        <v>37</v>
      </c>
      <c r="Q22" s="388"/>
      <c r="R22" s="199">
        <f>SUM(R23:R24)</f>
        <v>0</v>
      </c>
      <c r="S22" s="199">
        <f>SUM(S23:S24)</f>
        <v>0</v>
      </c>
      <c r="T22" s="199">
        <f>SUM(T23:T24)</f>
        <v>0</v>
      </c>
      <c r="U22" s="199">
        <f>SUM(U23:U24)</f>
        <v>0</v>
      </c>
      <c r="V22" s="199">
        <f>SUM(V23:V24)</f>
        <v>0</v>
      </c>
    </row>
    <row r="23" spans="1:30" s="189" customFormat="1" ht="15.6" outlineLevel="1" x14ac:dyDescent="0.3">
      <c r="A23" s="182" t="s">
        <v>831</v>
      </c>
      <c r="B23" s="182"/>
      <c r="C23" s="182"/>
      <c r="D23" s="208"/>
      <c r="E23" s="208"/>
      <c r="F23" s="208"/>
      <c r="G23" s="209"/>
      <c r="H23" s="208"/>
      <c r="I23" s="208"/>
      <c r="J23" s="209"/>
      <c r="K23" s="208"/>
      <c r="L23" s="182"/>
      <c r="M23" s="490"/>
      <c r="N23" s="520"/>
      <c r="O23" s="205">
        <v>243</v>
      </c>
      <c r="P23" s="206">
        <v>226</v>
      </c>
      <c r="Q23" s="383"/>
      <c r="R23" s="207">
        <f>SUM(S23,T23,U23,V23)</f>
        <v>0</v>
      </c>
      <c r="S23" s="207"/>
      <c r="T23" s="207"/>
      <c r="U23" s="207"/>
      <c r="V23" s="207"/>
      <c r="AC23" s="469"/>
      <c r="AD23" s="470"/>
    </row>
    <row r="24" spans="1:30" s="189" customFormat="1" ht="15.6" outlineLevel="1" x14ac:dyDescent="0.3">
      <c r="A24" s="182"/>
      <c r="B24" s="182"/>
      <c r="C24" s="182"/>
      <c r="D24" s="208"/>
      <c r="E24" s="208"/>
      <c r="F24" s="208"/>
      <c r="G24" s="209"/>
      <c r="H24" s="208"/>
      <c r="I24" s="208"/>
      <c r="J24" s="209"/>
      <c r="K24" s="208"/>
      <c r="L24" s="182"/>
      <c r="M24" s="490"/>
      <c r="N24" s="520"/>
      <c r="O24" s="205">
        <v>243</v>
      </c>
      <c r="P24" s="206">
        <v>226</v>
      </c>
      <c r="Q24" s="383"/>
      <c r="R24" s="207">
        <f>SUM(S24,T24,U24,V24)</f>
        <v>0</v>
      </c>
      <c r="S24" s="207"/>
      <c r="T24" s="207"/>
      <c r="U24" s="207"/>
      <c r="V24" s="207"/>
      <c r="AC24" s="469"/>
      <c r="AD24" s="470"/>
    </row>
    <row r="25" spans="1:30" ht="20.25" customHeight="1" x14ac:dyDescent="0.35">
      <c r="A25" s="196" t="s">
        <v>525</v>
      </c>
      <c r="B25" s="196"/>
      <c r="C25" s="196"/>
      <c r="D25" s="196"/>
      <c r="E25" s="196"/>
      <c r="F25" s="196"/>
      <c r="G25" s="196"/>
      <c r="H25" s="196"/>
      <c r="I25" s="196"/>
      <c r="J25" s="196"/>
      <c r="K25" s="196"/>
      <c r="L25" s="196"/>
      <c r="M25" s="489"/>
      <c r="N25" s="519"/>
      <c r="O25" s="197">
        <v>321</v>
      </c>
      <c r="P25" s="198" t="s">
        <v>37</v>
      </c>
      <c r="Q25" s="388"/>
      <c r="R25" s="199">
        <f>SUM(R26:R29)</f>
        <v>0</v>
      </c>
      <c r="S25" s="199">
        <f>SUM(S26:S29)</f>
        <v>0</v>
      </c>
      <c r="T25" s="199">
        <f>SUM(T26:T29)</f>
        <v>0</v>
      </c>
      <c r="U25" s="199">
        <f>SUM(U26:U29)</f>
        <v>0</v>
      </c>
      <c r="V25" s="199">
        <f>SUM(V26:V29)</f>
        <v>0</v>
      </c>
      <c r="W25" s="49" t="s">
        <v>526</v>
      </c>
    </row>
    <row r="26" spans="1:30" s="189" customFormat="1" ht="15.6" x14ac:dyDescent="0.3">
      <c r="A26" s="182" t="s">
        <v>527</v>
      </c>
      <c r="B26" s="182"/>
      <c r="C26" s="182"/>
      <c r="D26" s="208"/>
      <c r="E26" s="208"/>
      <c r="F26" s="208"/>
      <c r="G26" s="209"/>
      <c r="H26" s="208"/>
      <c r="I26" s="208"/>
      <c r="J26" s="209"/>
      <c r="K26" s="208"/>
      <c r="L26" s="182"/>
      <c r="M26" s="490"/>
      <c r="N26" s="520"/>
      <c r="O26" s="205">
        <v>321</v>
      </c>
      <c r="P26" s="206">
        <v>264</v>
      </c>
      <c r="Q26" s="383"/>
      <c r="R26" s="207">
        <f>SUM(S26,T26,U26,V26)</f>
        <v>0</v>
      </c>
      <c r="S26" s="207"/>
      <c r="T26" s="207"/>
      <c r="U26" s="207"/>
      <c r="V26" s="207"/>
      <c r="AC26" s="469"/>
      <c r="AD26" s="470"/>
    </row>
    <row r="27" spans="1:30" s="189" customFormat="1" ht="15.6" x14ac:dyDescent="0.3">
      <c r="A27" s="182" t="s">
        <v>528</v>
      </c>
      <c r="B27" s="182"/>
      <c r="C27" s="182"/>
      <c r="D27" s="208"/>
      <c r="E27" s="208"/>
      <c r="F27" s="208"/>
      <c r="G27" s="218"/>
      <c r="H27" s="217" t="s">
        <v>531</v>
      </c>
      <c r="I27" s="217" t="s">
        <v>519</v>
      </c>
      <c r="J27" s="218"/>
      <c r="K27" s="208" t="s">
        <v>520</v>
      </c>
      <c r="L27" s="182"/>
      <c r="M27" s="490"/>
      <c r="N27" s="520"/>
      <c r="O27" s="205">
        <v>321</v>
      </c>
      <c r="P27" s="206">
        <v>296</v>
      </c>
      <c r="Q27" s="383"/>
      <c r="R27" s="207">
        <f>SUM(S27,T27,U27,V27)</f>
        <v>0</v>
      </c>
      <c r="S27" s="207"/>
      <c r="T27" s="207"/>
      <c r="U27" s="207"/>
      <c r="V27" s="207"/>
      <c r="X27" s="434"/>
      <c r="Y27" s="379"/>
      <c r="AC27" s="469"/>
      <c r="AD27" s="470"/>
    </row>
    <row r="28" spans="1:30" s="189" customFormat="1" ht="15.6" x14ac:dyDescent="0.3">
      <c r="A28" s="182" t="s">
        <v>529</v>
      </c>
      <c r="B28" s="182"/>
      <c r="C28" s="182"/>
      <c r="D28" s="208"/>
      <c r="E28" s="208"/>
      <c r="F28" s="208"/>
      <c r="G28" s="209"/>
      <c r="H28" s="208"/>
      <c r="I28" s="208"/>
      <c r="J28" s="209"/>
      <c r="K28" s="208"/>
      <c r="L28" s="182"/>
      <c r="M28" s="490"/>
      <c r="N28" s="520"/>
      <c r="O28" s="205">
        <v>321</v>
      </c>
      <c r="P28" s="206">
        <v>264</v>
      </c>
      <c r="Q28" s="383"/>
      <c r="R28" s="207">
        <f>SUM(S28,T28,U28,V28)</f>
        <v>0</v>
      </c>
      <c r="S28" s="207"/>
      <c r="T28" s="207"/>
      <c r="U28" s="207"/>
      <c r="V28" s="207"/>
      <c r="AC28" s="469"/>
      <c r="AD28" s="470"/>
    </row>
    <row r="29" spans="1:30" s="189" customFormat="1" ht="15.6" x14ac:dyDescent="0.3">
      <c r="A29" s="182" t="s">
        <v>530</v>
      </c>
      <c r="B29" s="182"/>
      <c r="C29" s="182"/>
      <c r="D29" s="208"/>
      <c r="E29" s="208"/>
      <c r="F29" s="208"/>
      <c r="G29" s="209"/>
      <c r="H29" s="208"/>
      <c r="I29" s="208"/>
      <c r="J29" s="209"/>
      <c r="K29" s="208"/>
      <c r="L29" s="182"/>
      <c r="M29" s="490"/>
      <c r="N29" s="520"/>
      <c r="O29" s="205">
        <v>321</v>
      </c>
      <c r="P29" s="206">
        <v>266</v>
      </c>
      <c r="Q29" s="383"/>
      <c r="R29" s="207">
        <f>SUM(S29,T29,U29,V29)</f>
        <v>0</v>
      </c>
      <c r="S29" s="207"/>
      <c r="T29" s="207"/>
      <c r="U29" s="207"/>
      <c r="V29" s="207"/>
      <c r="AC29" s="469"/>
      <c r="AD29" s="470"/>
    </row>
    <row r="30" spans="1:30" ht="20.25" customHeight="1" x14ac:dyDescent="0.35">
      <c r="A30" s="196" t="s">
        <v>532</v>
      </c>
      <c r="B30" s="196"/>
      <c r="C30" s="196"/>
      <c r="D30" s="196"/>
      <c r="E30" s="196"/>
      <c r="F30" s="196"/>
      <c r="G30" s="196"/>
      <c r="H30" s="196"/>
      <c r="I30" s="196"/>
      <c r="J30" s="196"/>
      <c r="K30" s="196"/>
      <c r="L30" s="196"/>
      <c r="M30" s="489"/>
      <c r="N30" s="519"/>
      <c r="O30" s="197">
        <v>851</v>
      </c>
      <c r="P30" s="198" t="s">
        <v>37</v>
      </c>
      <c r="Q30" s="388"/>
      <c r="R30" s="199">
        <f>SUM(R31,R34)</f>
        <v>0</v>
      </c>
      <c r="S30" s="199">
        <f>SUM(S31,S34)</f>
        <v>0</v>
      </c>
      <c r="T30" s="199">
        <f>SUM(T31,T34)</f>
        <v>0</v>
      </c>
      <c r="U30" s="199">
        <f>SUM(U31,U34)</f>
        <v>0</v>
      </c>
      <c r="V30" s="199">
        <f>SUM(V31,V34)</f>
        <v>0</v>
      </c>
    </row>
    <row r="31" spans="1:30" s="45" customFormat="1" ht="16.2" x14ac:dyDescent="0.35">
      <c r="A31" s="225" t="s">
        <v>533</v>
      </c>
      <c r="B31" s="226"/>
      <c r="C31" s="226"/>
      <c r="D31" s="226"/>
      <c r="E31" s="226"/>
      <c r="F31" s="226"/>
      <c r="G31" s="226"/>
      <c r="H31" s="226"/>
      <c r="I31" s="226"/>
      <c r="J31" s="226"/>
      <c r="K31" s="226"/>
      <c r="L31" s="226"/>
      <c r="M31" s="493"/>
      <c r="N31" s="522" t="s">
        <v>311</v>
      </c>
      <c r="O31" s="227">
        <v>851</v>
      </c>
      <c r="P31" s="228">
        <v>291</v>
      </c>
      <c r="Q31" s="381"/>
      <c r="R31" s="229">
        <f>SUM(S31,T31,U31,V31)</f>
        <v>0</v>
      </c>
      <c r="S31" s="229">
        <f>SUM(S32:S33)</f>
        <v>0</v>
      </c>
      <c r="T31" s="229">
        <f>SUM(T32:T33)</f>
        <v>0</v>
      </c>
      <c r="U31" s="229">
        <f>SUM(U32:U33)</f>
        <v>0</v>
      </c>
      <c r="V31" s="229">
        <f>SUM(V32:V33)</f>
        <v>0</v>
      </c>
      <c r="W31" s="49" t="s">
        <v>534</v>
      </c>
      <c r="AC31" s="414"/>
      <c r="AD31" s="471"/>
    </row>
    <row r="32" spans="1:30" ht="15.6" outlineLevel="1" x14ac:dyDescent="0.3">
      <c r="A32" s="216" t="s">
        <v>535</v>
      </c>
      <c r="B32" s="217"/>
      <c r="C32" s="217"/>
      <c r="D32" s="218"/>
      <c r="E32" s="208" t="s">
        <v>520</v>
      </c>
      <c r="F32" s="217" t="s">
        <v>519</v>
      </c>
      <c r="G32" s="230">
        <v>2.2000000000000002</v>
      </c>
      <c r="H32" s="217" t="s">
        <v>536</v>
      </c>
      <c r="I32" s="217"/>
      <c r="J32" s="217"/>
      <c r="K32" s="217"/>
      <c r="L32" s="217"/>
      <c r="M32" s="494"/>
      <c r="N32" s="523"/>
      <c r="O32" s="220"/>
      <c r="P32" s="221"/>
      <c r="Q32" s="381">
        <v>2</v>
      </c>
      <c r="R32" s="222">
        <f>SUM(S32,T32,U32,V32)</f>
        <v>0</v>
      </c>
      <c r="S32" s="222"/>
      <c r="T32" s="222"/>
      <c r="U32" s="222"/>
      <c r="V32" s="222"/>
      <c r="AD32" s="470"/>
    </row>
    <row r="33" spans="1:30" ht="15.6" outlineLevel="1" x14ac:dyDescent="0.3">
      <c r="A33" s="216" t="s">
        <v>537</v>
      </c>
      <c r="B33" s="217"/>
      <c r="C33" s="217"/>
      <c r="D33" s="218"/>
      <c r="E33" s="208" t="s">
        <v>520</v>
      </c>
      <c r="F33" s="217" t="s">
        <v>519</v>
      </c>
      <c r="G33" s="230">
        <v>2.2000000000000002</v>
      </c>
      <c r="H33" s="217" t="s">
        <v>536</v>
      </c>
      <c r="I33" s="217"/>
      <c r="J33" s="217"/>
      <c r="K33" s="217"/>
      <c r="L33" s="217"/>
      <c r="M33" s="494"/>
      <c r="N33" s="523"/>
      <c r="O33" s="220"/>
      <c r="P33" s="221"/>
      <c r="Q33" s="381"/>
      <c r="R33" s="222">
        <f>SUM(S33,T33,U33,V33)</f>
        <v>0</v>
      </c>
      <c r="S33" s="222"/>
      <c r="T33" s="222"/>
      <c r="U33" s="222"/>
      <c r="V33" s="222"/>
    </row>
    <row r="34" spans="1:30" s="45" customFormat="1" ht="16.2" x14ac:dyDescent="0.35">
      <c r="A34" s="231" t="s">
        <v>538</v>
      </c>
      <c r="B34" s="232"/>
      <c r="C34" s="232"/>
      <c r="D34" s="232"/>
      <c r="E34" s="232"/>
      <c r="F34" s="232"/>
      <c r="G34" s="232"/>
      <c r="H34" s="232"/>
      <c r="I34" s="232"/>
      <c r="J34" s="232"/>
      <c r="K34" s="232"/>
      <c r="L34" s="232"/>
      <c r="M34" s="495"/>
      <c r="N34" s="524" t="s">
        <v>311</v>
      </c>
      <c r="O34" s="233">
        <v>851</v>
      </c>
      <c r="P34" s="234">
        <v>291</v>
      </c>
      <c r="Q34" s="381"/>
      <c r="R34" s="229">
        <f>SUM(S34,T34,U34,V34)</f>
        <v>0</v>
      </c>
      <c r="S34" s="229">
        <f>SUM(S36,S38,S40)</f>
        <v>0</v>
      </c>
      <c r="T34" s="229">
        <f>SUM(T36,T38,T40)</f>
        <v>0</v>
      </c>
      <c r="U34" s="229">
        <f>SUM(U36,U38,U40)</f>
        <v>0</v>
      </c>
      <c r="V34" s="229">
        <f>SUM(V36,V38,V40)</f>
        <v>0</v>
      </c>
      <c r="W34" s="49" t="s">
        <v>534</v>
      </c>
      <c r="AC34" s="414"/>
      <c r="AD34" s="471"/>
    </row>
    <row r="35" spans="1:30" s="45" customFormat="1" ht="16.2" outlineLevel="1" x14ac:dyDescent="0.35">
      <c r="A35" s="235" t="s">
        <v>539</v>
      </c>
      <c r="B35" s="236"/>
      <c r="C35" s="237"/>
      <c r="D35" s="238" t="s">
        <v>540</v>
      </c>
      <c r="E35" s="239"/>
      <c r="F35" s="232"/>
      <c r="G35" s="237"/>
      <c r="H35" s="238" t="s">
        <v>541</v>
      </c>
      <c r="I35" s="218" t="e">
        <f>D36/G35</f>
        <v>#DIV/0!</v>
      </c>
      <c r="J35" s="238" t="s">
        <v>520</v>
      </c>
      <c r="K35" s="232"/>
      <c r="L35" s="232"/>
      <c r="M35" s="495"/>
      <c r="N35" s="524"/>
      <c r="O35" s="233"/>
      <c r="P35" s="234"/>
      <c r="Q35" s="381"/>
      <c r="R35" s="222" t="s">
        <v>37</v>
      </c>
      <c r="S35" s="222" t="s">
        <v>37</v>
      </c>
      <c r="T35" s="222" t="s">
        <v>37</v>
      </c>
      <c r="U35" s="222" t="s">
        <v>37</v>
      </c>
      <c r="V35" s="222" t="s">
        <v>37</v>
      </c>
      <c r="W35" s="49"/>
      <c r="AC35" s="414"/>
      <c r="AD35" s="471"/>
    </row>
    <row r="36" spans="1:30" s="45" customFormat="1" ht="16.2" outlineLevel="1" x14ac:dyDescent="0.35">
      <c r="A36" s="240"/>
      <c r="B36" s="241"/>
      <c r="C36" s="241"/>
      <c r="D36" s="218"/>
      <c r="E36" s="208" t="s">
        <v>520</v>
      </c>
      <c r="F36" s="217" t="s">
        <v>519</v>
      </c>
      <c r="G36" s="230">
        <v>1.5</v>
      </c>
      <c r="H36" s="217" t="s">
        <v>536</v>
      </c>
      <c r="I36" s="241"/>
      <c r="J36" s="232"/>
      <c r="K36" s="232"/>
      <c r="L36" s="232"/>
      <c r="M36" s="495"/>
      <c r="N36" s="524"/>
      <c r="O36" s="233"/>
      <c r="P36" s="234"/>
      <c r="Q36" s="381">
        <v>2</v>
      </c>
      <c r="R36" s="222">
        <f>SUM(S36,T36,U36,V36)</f>
        <v>0</v>
      </c>
      <c r="S36" s="222"/>
      <c r="T36" s="222"/>
      <c r="U36" s="222"/>
      <c r="V36" s="222"/>
      <c r="AC36" s="414"/>
      <c r="AD36" s="471"/>
    </row>
    <row r="37" spans="1:30" s="45" customFormat="1" ht="16.2" outlineLevel="1" x14ac:dyDescent="0.35">
      <c r="A37" s="235" t="s">
        <v>709</v>
      </c>
      <c r="B37" s="236"/>
      <c r="C37" s="237"/>
      <c r="D37" s="238" t="s">
        <v>540</v>
      </c>
      <c r="E37" s="239"/>
      <c r="F37" s="217"/>
      <c r="G37" s="237"/>
      <c r="H37" s="238" t="s">
        <v>541</v>
      </c>
      <c r="I37" s="218" t="e">
        <f>D38/G37</f>
        <v>#DIV/0!</v>
      </c>
      <c r="J37" s="238" t="s">
        <v>520</v>
      </c>
      <c r="K37" s="232"/>
      <c r="L37" s="232"/>
      <c r="M37" s="495"/>
      <c r="N37" s="524"/>
      <c r="O37" s="233"/>
      <c r="P37" s="234"/>
      <c r="Q37" s="381"/>
      <c r="R37" s="222" t="s">
        <v>37</v>
      </c>
      <c r="S37" s="222" t="s">
        <v>37</v>
      </c>
      <c r="T37" s="222" t="s">
        <v>37</v>
      </c>
      <c r="U37" s="222" t="s">
        <v>37</v>
      </c>
      <c r="V37" s="222" t="s">
        <v>37</v>
      </c>
      <c r="Y37" s="63"/>
      <c r="AC37" s="414"/>
      <c r="AD37" s="471"/>
    </row>
    <row r="38" spans="1:30" s="45" customFormat="1" ht="16.2" outlineLevel="1" x14ac:dyDescent="0.35">
      <c r="A38" s="240"/>
      <c r="B38" s="241"/>
      <c r="C38" s="241"/>
      <c r="D38" s="218"/>
      <c r="E38" s="208" t="s">
        <v>520</v>
      </c>
      <c r="F38" s="217" t="s">
        <v>519</v>
      </c>
      <c r="G38" s="230">
        <v>1.5</v>
      </c>
      <c r="H38" s="217" t="s">
        <v>536</v>
      </c>
      <c r="I38" s="241"/>
      <c r="J38" s="232"/>
      <c r="K38" s="232"/>
      <c r="L38" s="232"/>
      <c r="M38" s="495"/>
      <c r="N38" s="524"/>
      <c r="O38" s="233"/>
      <c r="P38" s="234"/>
      <c r="Q38" s="381">
        <v>2</v>
      </c>
      <c r="R38" s="222">
        <f>SUM(S38,T38,U38,V38)</f>
        <v>0</v>
      </c>
      <c r="S38" s="222"/>
      <c r="T38" s="222"/>
      <c r="U38" s="222"/>
      <c r="V38" s="222"/>
      <c r="X38" s="63"/>
      <c r="AC38" s="414"/>
      <c r="AD38" s="471"/>
    </row>
    <row r="39" spans="1:30" s="45" customFormat="1" ht="16.2" outlineLevel="1" x14ac:dyDescent="0.35">
      <c r="A39" s="235" t="s">
        <v>709</v>
      </c>
      <c r="B39" s="236"/>
      <c r="C39" s="237"/>
      <c r="D39" s="238" t="s">
        <v>540</v>
      </c>
      <c r="E39" s="239"/>
      <c r="F39" s="217"/>
      <c r="G39" s="237"/>
      <c r="H39" s="238" t="s">
        <v>541</v>
      </c>
      <c r="I39" s="237"/>
      <c r="J39" s="238" t="s">
        <v>520</v>
      </c>
      <c r="K39" s="232"/>
      <c r="L39" s="232"/>
      <c r="M39" s="495"/>
      <c r="N39" s="524"/>
      <c r="O39" s="233"/>
      <c r="P39" s="234"/>
      <c r="Q39" s="381"/>
      <c r="R39" s="222" t="s">
        <v>37</v>
      </c>
      <c r="S39" s="222" t="s">
        <v>37</v>
      </c>
      <c r="T39" s="222" t="s">
        <v>37</v>
      </c>
      <c r="U39" s="222" t="s">
        <v>37</v>
      </c>
      <c r="V39" s="222" t="s">
        <v>37</v>
      </c>
      <c r="AC39" s="414"/>
      <c r="AD39" s="471"/>
    </row>
    <row r="40" spans="1:30" s="45" customFormat="1" ht="16.2" outlineLevel="1" x14ac:dyDescent="0.35">
      <c r="A40" s="242"/>
      <c r="B40" s="243"/>
      <c r="C40" s="243"/>
      <c r="D40" s="224">
        <f>ROUND(G39*I39,0)</f>
        <v>0</v>
      </c>
      <c r="E40" s="213" t="s">
        <v>520</v>
      </c>
      <c r="F40" s="223" t="s">
        <v>519</v>
      </c>
      <c r="G40" s="244"/>
      <c r="H40" s="223" t="s">
        <v>536</v>
      </c>
      <c r="I40" s="243"/>
      <c r="J40" s="243"/>
      <c r="K40" s="243"/>
      <c r="L40" s="243"/>
      <c r="M40" s="496"/>
      <c r="N40" s="525"/>
      <c r="O40" s="245"/>
      <c r="P40" s="246"/>
      <c r="Q40" s="381"/>
      <c r="R40" s="222">
        <f>SUM(S40,T40,U40,V40)</f>
        <v>0</v>
      </c>
      <c r="S40" s="222"/>
      <c r="T40" s="222"/>
      <c r="U40" s="222"/>
      <c r="V40" s="222"/>
      <c r="X40" s="63"/>
      <c r="AC40" s="414"/>
      <c r="AD40" s="471"/>
    </row>
    <row r="41" spans="1:30" ht="20.25" customHeight="1" x14ac:dyDescent="0.35">
      <c r="A41" s="196" t="s">
        <v>542</v>
      </c>
      <c r="B41" s="196"/>
      <c r="C41" s="196"/>
      <c r="D41" s="196"/>
      <c r="E41" s="196"/>
      <c r="F41" s="196"/>
      <c r="G41" s="196"/>
      <c r="H41" s="196"/>
      <c r="I41" s="196"/>
      <c r="J41" s="196"/>
      <c r="K41" s="196"/>
      <c r="L41" s="196"/>
      <c r="M41" s="489"/>
      <c r="N41" s="519"/>
      <c r="O41" s="197">
        <v>852</v>
      </c>
      <c r="P41" s="198" t="s">
        <v>37</v>
      </c>
      <c r="Q41" s="388"/>
      <c r="R41" s="199">
        <f>SUM(R42:R46)</f>
        <v>0</v>
      </c>
      <c r="S41" s="199">
        <f>SUM(S42:S46)</f>
        <v>0</v>
      </c>
      <c r="T41" s="199">
        <f>SUM(T42:T46)</f>
        <v>0</v>
      </c>
      <c r="U41" s="199">
        <f>SUM(U42:U46)</f>
        <v>0</v>
      </c>
      <c r="V41" s="199">
        <f>SUM(V42:V46)</f>
        <v>0</v>
      </c>
    </row>
    <row r="42" spans="1:30" s="45" customFormat="1" ht="16.2" x14ac:dyDescent="0.35">
      <c r="A42" s="231" t="s">
        <v>543</v>
      </c>
      <c r="B42" s="232"/>
      <c r="C42" s="232"/>
      <c r="D42" s="232"/>
      <c r="E42" s="232"/>
      <c r="F42" s="232"/>
      <c r="G42" s="232"/>
      <c r="H42" s="232"/>
      <c r="I42" s="232"/>
      <c r="J42" s="232"/>
      <c r="K42" s="232"/>
      <c r="L42" s="232"/>
      <c r="M42" s="495"/>
      <c r="N42" s="524" t="s">
        <v>305</v>
      </c>
      <c r="O42" s="233">
        <v>852</v>
      </c>
      <c r="P42" s="234">
        <v>291</v>
      </c>
      <c r="Q42" s="381"/>
      <c r="R42" s="229">
        <f>SUM(S42,T42,U42,V42)</f>
        <v>0</v>
      </c>
      <c r="S42" s="229"/>
      <c r="T42" s="229"/>
      <c r="U42" s="229"/>
      <c r="V42" s="229"/>
      <c r="AC42" s="414"/>
      <c r="AD42" s="471"/>
    </row>
    <row r="43" spans="1:30" s="45" customFormat="1" ht="16.2" x14ac:dyDescent="0.35">
      <c r="A43" s="231" t="s">
        <v>544</v>
      </c>
      <c r="B43" s="232"/>
      <c r="C43" s="232"/>
      <c r="D43" s="232"/>
      <c r="E43" s="232"/>
      <c r="F43" s="232"/>
      <c r="G43" s="232"/>
      <c r="H43" s="232"/>
      <c r="I43" s="232"/>
      <c r="J43" s="232"/>
      <c r="K43" s="232"/>
      <c r="L43" s="232"/>
      <c r="M43" s="495"/>
      <c r="N43" s="524"/>
      <c r="O43" s="233">
        <v>852</v>
      </c>
      <c r="P43" s="234">
        <v>291</v>
      </c>
      <c r="Q43" s="381"/>
      <c r="R43" s="229">
        <f>SUM(S43,T43,U43,V43)</f>
        <v>0</v>
      </c>
      <c r="S43" s="229"/>
      <c r="T43" s="229"/>
      <c r="U43" s="229"/>
      <c r="V43" s="229"/>
      <c r="AC43" s="414"/>
      <c r="AD43" s="471"/>
    </row>
    <row r="44" spans="1:30" s="45" customFormat="1" ht="16.2" x14ac:dyDescent="0.35">
      <c r="A44" s="231" t="s">
        <v>545</v>
      </c>
      <c r="B44" s="232"/>
      <c r="C44" s="232"/>
      <c r="D44" s="232"/>
      <c r="E44" s="232"/>
      <c r="F44" s="232"/>
      <c r="G44" s="232"/>
      <c r="H44" s="232"/>
      <c r="I44" s="232"/>
      <c r="J44" s="232"/>
      <c r="K44" s="232"/>
      <c r="L44" s="232"/>
      <c r="M44" s="495"/>
      <c r="N44" s="524"/>
      <c r="O44" s="233">
        <v>852</v>
      </c>
      <c r="P44" s="234">
        <v>291</v>
      </c>
      <c r="Q44" s="381"/>
      <c r="R44" s="229">
        <f>SUM(S44,T44,U44,V44)</f>
        <v>0</v>
      </c>
      <c r="S44" s="229"/>
      <c r="T44" s="229"/>
      <c r="U44" s="229"/>
      <c r="V44" s="229"/>
      <c r="AC44" s="414"/>
      <c r="AD44" s="471"/>
    </row>
    <row r="45" spans="1:30" s="45" customFormat="1" ht="16.2" x14ac:dyDescent="0.35">
      <c r="A45" s="231" t="s">
        <v>546</v>
      </c>
      <c r="B45" s="232"/>
      <c r="C45" s="232"/>
      <c r="D45" s="232"/>
      <c r="E45" s="232"/>
      <c r="F45" s="232"/>
      <c r="G45" s="232"/>
      <c r="H45" s="232"/>
      <c r="I45" s="232"/>
      <c r="J45" s="232"/>
      <c r="K45" s="232"/>
      <c r="L45" s="232"/>
      <c r="M45" s="495"/>
      <c r="N45" s="524"/>
      <c r="O45" s="233">
        <v>852</v>
      </c>
      <c r="P45" s="234">
        <v>291</v>
      </c>
      <c r="Q45" s="381"/>
      <c r="R45" s="229">
        <f>SUM(S45,T45,U45,V45)</f>
        <v>0</v>
      </c>
      <c r="S45" s="229"/>
      <c r="T45" s="229"/>
      <c r="U45" s="229"/>
      <c r="V45" s="229"/>
      <c r="AC45" s="414"/>
      <c r="AD45" s="471"/>
    </row>
    <row r="46" spans="1:30" s="45" customFormat="1" ht="16.2" x14ac:dyDescent="0.35">
      <c r="A46" s="231" t="s">
        <v>547</v>
      </c>
      <c r="B46" s="232"/>
      <c r="C46" s="232"/>
      <c r="D46" s="232"/>
      <c r="E46" s="232"/>
      <c r="F46" s="232"/>
      <c r="G46" s="232"/>
      <c r="H46" s="232"/>
      <c r="I46" s="232"/>
      <c r="J46" s="232"/>
      <c r="K46" s="232"/>
      <c r="L46" s="232"/>
      <c r="M46" s="495"/>
      <c r="N46" s="524"/>
      <c r="O46" s="233">
        <v>852</v>
      </c>
      <c r="P46" s="234">
        <v>291</v>
      </c>
      <c r="Q46" s="381"/>
      <c r="R46" s="229">
        <f>SUM(S46,T46,U46,V46)</f>
        <v>0</v>
      </c>
      <c r="S46" s="229">
        <f>SUM(S48,S50,S56,S52,S54)</f>
        <v>0</v>
      </c>
      <c r="T46" s="229">
        <f>SUM(T48,T50,T56,T52,T54)</f>
        <v>0</v>
      </c>
      <c r="U46" s="229">
        <f>SUM(U48,U50,U56,U52,U54)</f>
        <v>0</v>
      </c>
      <c r="V46" s="229">
        <f>SUM(V48,V50,V56,V52,V54)</f>
        <v>0</v>
      </c>
      <c r="W46" s="49" t="s">
        <v>534</v>
      </c>
      <c r="AC46" s="414"/>
      <c r="AD46" s="471"/>
    </row>
    <row r="47" spans="1:30" ht="15.6" outlineLevel="1" x14ac:dyDescent="0.3">
      <c r="A47" s="247"/>
      <c r="B47" s="248" t="s">
        <v>548</v>
      </c>
      <c r="C47" s="237"/>
      <c r="D47" s="238" t="s">
        <v>549</v>
      </c>
      <c r="E47" s="237" t="s">
        <v>712</v>
      </c>
      <c r="F47" s="238"/>
      <c r="G47" s="249" t="s">
        <v>550</v>
      </c>
      <c r="H47" s="237"/>
      <c r="I47" s="237">
        <v>12</v>
      </c>
      <c r="J47" s="250" t="s">
        <v>551</v>
      </c>
      <c r="K47" s="250"/>
      <c r="L47" s="217"/>
      <c r="M47" s="494"/>
      <c r="N47" s="523"/>
      <c r="O47" s="220"/>
      <c r="P47" s="221"/>
      <c r="Q47" s="381"/>
      <c r="R47" s="222" t="s">
        <v>37</v>
      </c>
      <c r="S47" s="222" t="s">
        <v>37</v>
      </c>
      <c r="T47" s="222" t="s">
        <v>37</v>
      </c>
      <c r="U47" s="222" t="s">
        <v>37</v>
      </c>
      <c r="V47" s="222" t="s">
        <v>37</v>
      </c>
    </row>
    <row r="48" spans="1:30" s="45" customFormat="1" ht="16.2" outlineLevel="1" x14ac:dyDescent="0.35">
      <c r="A48" s="231"/>
      <c r="B48" s="251"/>
      <c r="C48" s="252" t="s">
        <v>552</v>
      </c>
      <c r="D48" s="237"/>
      <c r="E48" s="232" t="s">
        <v>553</v>
      </c>
      <c r="F48" s="217" t="s">
        <v>519</v>
      </c>
      <c r="G48" s="230">
        <v>5.5</v>
      </c>
      <c r="H48" s="217" t="s">
        <v>536</v>
      </c>
      <c r="I48" s="218">
        <f>12/I47</f>
        <v>1</v>
      </c>
      <c r="J48" s="217" t="s">
        <v>554</v>
      </c>
      <c r="K48" s="232"/>
      <c r="L48" s="232"/>
      <c r="M48" s="495"/>
      <c r="N48" s="524"/>
      <c r="O48" s="233"/>
      <c r="P48" s="234"/>
      <c r="Q48" s="381">
        <v>4</v>
      </c>
      <c r="R48" s="222">
        <f>SUM(S48,T48,U48,V48)</f>
        <v>0</v>
      </c>
      <c r="S48" s="222"/>
      <c r="T48" s="222"/>
      <c r="U48" s="222"/>
      <c r="V48" s="222"/>
      <c r="AC48" s="414"/>
      <c r="AD48" s="471"/>
    </row>
    <row r="49" spans="1:30" ht="15.6" outlineLevel="1" x14ac:dyDescent="0.3">
      <c r="A49" s="247"/>
      <c r="B49" s="248" t="s">
        <v>548</v>
      </c>
      <c r="C49" s="237"/>
      <c r="D49" s="238" t="s">
        <v>549</v>
      </c>
      <c r="E49" s="237" t="s">
        <v>711</v>
      </c>
      <c r="F49" s="238"/>
      <c r="G49" s="249" t="s">
        <v>550</v>
      </c>
      <c r="H49" s="237"/>
      <c r="I49" s="237">
        <v>12</v>
      </c>
      <c r="J49" s="250" t="s">
        <v>551</v>
      </c>
      <c r="K49" s="250"/>
      <c r="L49" s="217"/>
      <c r="M49" s="494"/>
      <c r="N49" s="523"/>
      <c r="O49" s="220"/>
      <c r="P49" s="221"/>
      <c r="Q49" s="381"/>
      <c r="R49" s="222" t="s">
        <v>37</v>
      </c>
      <c r="S49" s="222" t="s">
        <v>37</v>
      </c>
      <c r="T49" s="222" t="s">
        <v>37</v>
      </c>
      <c r="U49" s="222" t="s">
        <v>37</v>
      </c>
      <c r="V49" s="222" t="s">
        <v>37</v>
      </c>
    </row>
    <row r="50" spans="1:30" s="45" customFormat="1" ht="16.2" outlineLevel="1" x14ac:dyDescent="0.35">
      <c r="A50" s="231"/>
      <c r="B50" s="251"/>
      <c r="C50" s="252" t="s">
        <v>552</v>
      </c>
      <c r="D50" s="237"/>
      <c r="E50" s="232" t="s">
        <v>553</v>
      </c>
      <c r="F50" s="217" t="s">
        <v>519</v>
      </c>
      <c r="G50" s="230">
        <v>14</v>
      </c>
      <c r="H50" s="217" t="s">
        <v>536</v>
      </c>
      <c r="I50" s="218">
        <f>12/I49</f>
        <v>1</v>
      </c>
      <c r="J50" s="217" t="s">
        <v>554</v>
      </c>
      <c r="K50" s="232"/>
      <c r="L50" s="232"/>
      <c r="M50" s="495"/>
      <c r="N50" s="524"/>
      <c r="O50" s="233"/>
      <c r="P50" s="234"/>
      <c r="Q50" s="381">
        <v>4</v>
      </c>
      <c r="R50" s="222">
        <f>SUM(S50,T50,U50,V50)</f>
        <v>0</v>
      </c>
      <c r="S50" s="222"/>
      <c r="T50" s="222"/>
      <c r="U50" s="222"/>
      <c r="V50" s="222"/>
      <c r="AC50" s="414"/>
      <c r="AD50" s="471"/>
    </row>
    <row r="51" spans="1:30" ht="15.6" outlineLevel="1" x14ac:dyDescent="0.3">
      <c r="A51" s="247"/>
      <c r="B51" s="248" t="s">
        <v>548</v>
      </c>
      <c r="C51" s="237"/>
      <c r="D51" s="238" t="s">
        <v>549</v>
      </c>
      <c r="E51" s="237" t="s">
        <v>711</v>
      </c>
      <c r="F51" s="238"/>
      <c r="G51" s="249" t="s">
        <v>550</v>
      </c>
      <c r="H51" s="237"/>
      <c r="I51" s="237">
        <v>12</v>
      </c>
      <c r="J51" s="250" t="s">
        <v>551</v>
      </c>
      <c r="K51" s="250"/>
      <c r="L51" s="217"/>
      <c r="M51" s="494"/>
      <c r="N51" s="523"/>
      <c r="O51" s="220"/>
      <c r="P51" s="221"/>
      <c r="Q51" s="381"/>
      <c r="R51" s="222" t="s">
        <v>37</v>
      </c>
      <c r="S51" s="222" t="s">
        <v>37</v>
      </c>
      <c r="T51" s="222" t="s">
        <v>37</v>
      </c>
      <c r="U51" s="222" t="s">
        <v>37</v>
      </c>
      <c r="V51" s="222" t="s">
        <v>37</v>
      </c>
    </row>
    <row r="52" spans="1:30" s="45" customFormat="1" ht="16.2" outlineLevel="1" x14ac:dyDescent="0.35">
      <c r="A52" s="231"/>
      <c r="B52" s="251"/>
      <c r="C52" s="252" t="s">
        <v>552</v>
      </c>
      <c r="D52" s="237"/>
      <c r="E52" s="232" t="s">
        <v>553</v>
      </c>
      <c r="F52" s="217" t="s">
        <v>519</v>
      </c>
      <c r="G52" s="230">
        <v>14</v>
      </c>
      <c r="H52" s="217" t="s">
        <v>536</v>
      </c>
      <c r="I52" s="218">
        <f>12/I51</f>
        <v>1</v>
      </c>
      <c r="J52" s="217" t="s">
        <v>554</v>
      </c>
      <c r="K52" s="232"/>
      <c r="L52" s="232"/>
      <c r="M52" s="495"/>
      <c r="N52" s="524"/>
      <c r="O52" s="233"/>
      <c r="P52" s="234"/>
      <c r="Q52" s="381">
        <v>4</v>
      </c>
      <c r="R52" s="222">
        <f>SUM(S52,T52,U52,V52)</f>
        <v>0</v>
      </c>
      <c r="S52" s="222"/>
      <c r="T52" s="222"/>
      <c r="U52" s="222"/>
      <c r="V52" s="222"/>
      <c r="AC52" s="414"/>
      <c r="AD52" s="471"/>
    </row>
    <row r="53" spans="1:30" ht="15.6" outlineLevel="1" x14ac:dyDescent="0.3">
      <c r="A53" s="247"/>
      <c r="B53" s="248" t="s">
        <v>548</v>
      </c>
      <c r="C53" s="237"/>
      <c r="D53" s="238" t="s">
        <v>549</v>
      </c>
      <c r="E53" s="237" t="s">
        <v>711</v>
      </c>
      <c r="F53" s="238"/>
      <c r="G53" s="249" t="s">
        <v>550</v>
      </c>
      <c r="H53" s="237"/>
      <c r="I53" s="237">
        <v>12</v>
      </c>
      <c r="J53" s="250" t="s">
        <v>551</v>
      </c>
      <c r="K53" s="250"/>
      <c r="L53" s="217"/>
      <c r="M53" s="494"/>
      <c r="N53" s="523"/>
      <c r="O53" s="220"/>
      <c r="P53" s="221"/>
      <c r="Q53" s="381"/>
      <c r="R53" s="222" t="s">
        <v>37</v>
      </c>
      <c r="S53" s="222" t="s">
        <v>37</v>
      </c>
      <c r="T53" s="222" t="s">
        <v>37</v>
      </c>
      <c r="U53" s="222" t="s">
        <v>37</v>
      </c>
      <c r="V53" s="222" t="s">
        <v>37</v>
      </c>
    </row>
    <row r="54" spans="1:30" s="45" customFormat="1" ht="16.2" outlineLevel="1" x14ac:dyDescent="0.35">
      <c r="A54" s="231"/>
      <c r="B54" s="251"/>
      <c r="C54" s="252" t="s">
        <v>552</v>
      </c>
      <c r="D54" s="237"/>
      <c r="E54" s="232" t="s">
        <v>553</v>
      </c>
      <c r="F54" s="217" t="s">
        <v>519</v>
      </c>
      <c r="G54" s="230">
        <v>14</v>
      </c>
      <c r="H54" s="217" t="s">
        <v>536</v>
      </c>
      <c r="I54" s="218">
        <f>12/I53</f>
        <v>1</v>
      </c>
      <c r="J54" s="217" t="s">
        <v>554</v>
      </c>
      <c r="K54" s="232"/>
      <c r="L54" s="232"/>
      <c r="M54" s="495"/>
      <c r="N54" s="524"/>
      <c r="O54" s="233"/>
      <c r="P54" s="234"/>
      <c r="Q54" s="381">
        <v>4</v>
      </c>
      <c r="R54" s="222">
        <f>SUM(S54,T54,U54,V54)</f>
        <v>0</v>
      </c>
      <c r="S54" s="222"/>
      <c r="T54" s="222"/>
      <c r="U54" s="222"/>
      <c r="V54" s="222"/>
      <c r="AC54" s="414"/>
      <c r="AD54" s="471"/>
    </row>
    <row r="55" spans="1:30" ht="15.6" outlineLevel="1" x14ac:dyDescent="0.3">
      <c r="A55" s="247"/>
      <c r="B55" s="248" t="s">
        <v>548</v>
      </c>
      <c r="C55" s="237"/>
      <c r="D55" s="238" t="s">
        <v>549</v>
      </c>
      <c r="E55" s="237" t="s">
        <v>711</v>
      </c>
      <c r="F55" s="238"/>
      <c r="G55" s="249" t="s">
        <v>550</v>
      </c>
      <c r="H55" s="237"/>
      <c r="I55" s="237">
        <v>12</v>
      </c>
      <c r="J55" s="250" t="s">
        <v>551</v>
      </c>
      <c r="K55" s="250"/>
      <c r="L55" s="217"/>
      <c r="M55" s="494"/>
      <c r="N55" s="523"/>
      <c r="O55" s="220"/>
      <c r="P55" s="221"/>
      <c r="Q55" s="381"/>
      <c r="R55" s="222" t="s">
        <v>37</v>
      </c>
      <c r="S55" s="222" t="s">
        <v>37</v>
      </c>
      <c r="T55" s="222" t="s">
        <v>37</v>
      </c>
      <c r="U55" s="222" t="s">
        <v>37</v>
      </c>
      <c r="V55" s="222" t="s">
        <v>37</v>
      </c>
    </row>
    <row r="56" spans="1:30" s="45" customFormat="1" ht="16.2" outlineLevel="1" x14ac:dyDescent="0.35">
      <c r="A56" s="231"/>
      <c r="B56" s="251"/>
      <c r="C56" s="252" t="s">
        <v>552</v>
      </c>
      <c r="D56" s="237"/>
      <c r="E56" s="232" t="s">
        <v>553</v>
      </c>
      <c r="F56" s="217" t="s">
        <v>519</v>
      </c>
      <c r="G56" s="230">
        <v>5.5</v>
      </c>
      <c r="H56" s="217" t="s">
        <v>536</v>
      </c>
      <c r="I56" s="218">
        <f>12/I55</f>
        <v>1</v>
      </c>
      <c r="J56" s="217" t="s">
        <v>554</v>
      </c>
      <c r="K56" s="232"/>
      <c r="L56" s="232"/>
      <c r="M56" s="495"/>
      <c r="N56" s="524"/>
      <c r="O56" s="233"/>
      <c r="P56" s="234"/>
      <c r="Q56" s="381">
        <v>4</v>
      </c>
      <c r="R56" s="222">
        <f>SUM(S56,T56,U56,V56)</f>
        <v>0</v>
      </c>
      <c r="S56" s="222"/>
      <c r="T56" s="222"/>
      <c r="U56" s="222"/>
      <c r="V56" s="222"/>
      <c r="AC56" s="414"/>
      <c r="AD56" s="471"/>
    </row>
    <row r="57" spans="1:30" s="45" customFormat="1" ht="21" x14ac:dyDescent="0.3">
      <c r="A57" s="437" t="s">
        <v>744</v>
      </c>
      <c r="B57" s="438"/>
      <c r="C57" s="438"/>
      <c r="D57" s="438"/>
      <c r="E57" s="438"/>
      <c r="F57" s="438"/>
      <c r="G57" s="438"/>
      <c r="H57" s="438"/>
      <c r="I57" s="438"/>
      <c r="J57" s="438"/>
      <c r="K57" s="438"/>
      <c r="L57" s="438"/>
      <c r="M57" s="497"/>
      <c r="N57" s="526"/>
      <c r="O57" s="439">
        <v>247</v>
      </c>
      <c r="P57" s="440"/>
      <c r="Q57" s="389"/>
      <c r="R57" s="199">
        <f>SUM(R79,R58)</f>
        <v>0</v>
      </c>
      <c r="S57" s="199">
        <f>SUM(S79,S58)</f>
        <v>0</v>
      </c>
      <c r="T57" s="199">
        <f>SUM(T79,T58)</f>
        <v>0</v>
      </c>
      <c r="U57" s="199">
        <f>SUM(U79,U58)</f>
        <v>0</v>
      </c>
      <c r="V57" s="199">
        <f>SUM(V79,V58)</f>
        <v>0</v>
      </c>
      <c r="X57" s="434"/>
      <c r="Y57" s="379"/>
      <c r="AC57" s="251"/>
      <c r="AD57" s="251"/>
    </row>
    <row r="58" spans="1:30" s="45" customFormat="1" ht="15.6" x14ac:dyDescent="0.3">
      <c r="A58" s="240" t="s">
        <v>579</v>
      </c>
      <c r="B58" s="241"/>
      <c r="C58" s="241"/>
      <c r="D58" s="241"/>
      <c r="E58" s="286"/>
      <c r="F58" s="182"/>
      <c r="G58" s="182"/>
      <c r="H58" s="182"/>
      <c r="I58" s="250"/>
      <c r="J58" s="287"/>
      <c r="K58" s="182"/>
      <c r="L58" s="286"/>
      <c r="M58" s="498"/>
      <c r="N58" s="518" t="s">
        <v>267</v>
      </c>
      <c r="O58" s="288" t="s">
        <v>745</v>
      </c>
      <c r="P58" s="289">
        <v>223</v>
      </c>
      <c r="Q58" s="435"/>
      <c r="R58" s="436">
        <f>SUM(R59,R74,R64,R69)</f>
        <v>0</v>
      </c>
      <c r="S58" s="436">
        <f>SUM(S59,S74,S64,S69)</f>
        <v>0</v>
      </c>
      <c r="T58" s="436">
        <f>SUM(T59,T74,T64,T69)</f>
        <v>0</v>
      </c>
      <c r="U58" s="436">
        <f>SUM(U59,U74,U64,U69)</f>
        <v>0</v>
      </c>
      <c r="V58" s="436">
        <f>SUM(V59,V74,V64,V69)</f>
        <v>0</v>
      </c>
      <c r="W58" s="49" t="s">
        <v>580</v>
      </c>
      <c r="AC58" s="414"/>
      <c r="AD58" s="471"/>
    </row>
    <row r="59" spans="1:30" s="45" customFormat="1" ht="16.2" outlineLevel="1" x14ac:dyDescent="0.35">
      <c r="A59" s="290" t="s">
        <v>539</v>
      </c>
      <c r="B59" s="291" t="s">
        <v>706</v>
      </c>
      <c r="C59" s="237"/>
      <c r="D59" s="238" t="s">
        <v>540</v>
      </c>
      <c r="E59" s="239" t="s">
        <v>707</v>
      </c>
      <c r="F59" s="259"/>
      <c r="G59" s="232"/>
      <c r="H59" s="260"/>
      <c r="I59" s="258"/>
      <c r="J59" s="232"/>
      <c r="K59" s="251"/>
      <c r="L59" s="286"/>
      <c r="M59" s="498"/>
      <c r="N59" s="518"/>
      <c r="O59" s="288" t="s">
        <v>745</v>
      </c>
      <c r="P59" s="289">
        <v>223</v>
      </c>
      <c r="Q59" s="390"/>
      <c r="R59" s="207">
        <f>SUM(R60:R63)</f>
        <v>0</v>
      </c>
      <c r="S59" s="207">
        <f>SUM(S60:S63)</f>
        <v>0</v>
      </c>
      <c r="T59" s="207">
        <f>SUM(T60:T63)</f>
        <v>0</v>
      </c>
      <c r="U59" s="207">
        <f>SUM(U60:U63)</f>
        <v>0</v>
      </c>
      <c r="V59" s="207">
        <f>SUM(V60:V63)</f>
        <v>0</v>
      </c>
      <c r="W59" s="49" t="s">
        <v>581</v>
      </c>
      <c r="AC59" s="414"/>
      <c r="AD59" s="471"/>
    </row>
    <row r="60" spans="1:30" ht="15.6" outlineLevel="1" x14ac:dyDescent="0.3">
      <c r="A60" s="264" t="s">
        <v>560</v>
      </c>
      <c r="B60" s="208">
        <f>$W$2</f>
        <v>2023</v>
      </c>
      <c r="C60" s="237"/>
      <c r="D60" s="237"/>
      <c r="E60" s="400"/>
      <c r="F60" s="280" t="s">
        <v>582</v>
      </c>
      <c r="G60" s="293" t="s">
        <v>850</v>
      </c>
      <c r="H60" s="208" t="s">
        <v>583</v>
      </c>
      <c r="I60" s="402"/>
      <c r="J60" s="238" t="s">
        <v>584</v>
      </c>
      <c r="K60" s="237">
        <v>14.26</v>
      </c>
      <c r="L60" s="208" t="s">
        <v>520</v>
      </c>
      <c r="M60" s="492"/>
      <c r="N60" s="527"/>
      <c r="O60" s="268"/>
      <c r="P60" s="269"/>
      <c r="Q60" s="382"/>
      <c r="R60" s="270">
        <f>SUM(S60,T60,U60,V60)</f>
        <v>0</v>
      </c>
      <c r="S60" s="270"/>
      <c r="T60" s="270"/>
      <c r="U60" s="270"/>
      <c r="V60" s="270"/>
      <c r="W60" s="49" t="s">
        <v>585</v>
      </c>
    </row>
    <row r="61" spans="1:30" ht="15.6" outlineLevel="1" x14ac:dyDescent="0.3">
      <c r="A61" s="264" t="s">
        <v>586</v>
      </c>
      <c r="B61" s="208">
        <f>$W$1</f>
        <v>2024</v>
      </c>
      <c r="C61" s="237"/>
      <c r="D61" s="237"/>
      <c r="E61" s="400"/>
      <c r="F61" s="280" t="s">
        <v>582</v>
      </c>
      <c r="G61" s="293" t="s">
        <v>850</v>
      </c>
      <c r="H61" s="208" t="s">
        <v>583</v>
      </c>
      <c r="I61" s="294"/>
      <c r="J61" s="238" t="s">
        <v>584</v>
      </c>
      <c r="K61" s="237">
        <v>14.26</v>
      </c>
      <c r="L61" s="208" t="s">
        <v>520</v>
      </c>
      <c r="M61" s="492"/>
      <c r="N61" s="527"/>
      <c r="O61" s="268"/>
      <c r="P61" s="269"/>
      <c r="Q61" s="382"/>
      <c r="R61" s="270">
        <f>SUM(S61,T61,U61,V61)</f>
        <v>0</v>
      </c>
      <c r="S61" s="270"/>
      <c r="T61" s="270"/>
      <c r="U61" s="270"/>
      <c r="V61" s="270"/>
      <c r="W61" s="49" t="s">
        <v>587</v>
      </c>
    </row>
    <row r="62" spans="1:30" ht="15.6" outlineLevel="1" x14ac:dyDescent="0.3">
      <c r="A62" s="264" t="s">
        <v>588</v>
      </c>
      <c r="B62" s="208">
        <f>$W$1</f>
        <v>2024</v>
      </c>
      <c r="C62" s="237"/>
      <c r="D62" s="237"/>
      <c r="E62" s="400"/>
      <c r="F62" s="280" t="s">
        <v>582</v>
      </c>
      <c r="G62" s="293" t="s">
        <v>850</v>
      </c>
      <c r="H62" s="208" t="s">
        <v>583</v>
      </c>
      <c r="I62" s="402"/>
      <c r="J62" s="238" t="s">
        <v>584</v>
      </c>
      <c r="K62" s="237">
        <v>14.26</v>
      </c>
      <c r="L62" s="208" t="s">
        <v>520</v>
      </c>
      <c r="M62" s="492"/>
      <c r="N62" s="527"/>
      <c r="O62" s="268"/>
      <c r="P62" s="269"/>
      <c r="Q62" s="382"/>
      <c r="R62" s="270">
        <f>SUM(S62,T62,U62,V62)</f>
        <v>0</v>
      </c>
      <c r="S62" s="270"/>
      <c r="T62" s="270"/>
      <c r="U62" s="270"/>
      <c r="V62" s="270"/>
      <c r="W62" s="49" t="s">
        <v>589</v>
      </c>
    </row>
    <row r="63" spans="1:30" ht="15.6" outlineLevel="1" x14ac:dyDescent="0.3">
      <c r="A63" s="264" t="s">
        <v>560</v>
      </c>
      <c r="B63" s="208">
        <f>$W$1</f>
        <v>2024</v>
      </c>
      <c r="C63" s="237"/>
      <c r="D63" s="237"/>
      <c r="E63" s="400"/>
      <c r="F63" s="280" t="s">
        <v>582</v>
      </c>
      <c r="G63" s="293" t="s">
        <v>850</v>
      </c>
      <c r="H63" s="208" t="s">
        <v>583</v>
      </c>
      <c r="I63" s="402"/>
      <c r="J63" s="238" t="s">
        <v>584</v>
      </c>
      <c r="K63" s="237">
        <v>14.26</v>
      </c>
      <c r="L63" s="208" t="s">
        <v>520</v>
      </c>
      <c r="M63" s="492"/>
      <c r="N63" s="527"/>
      <c r="O63" s="268"/>
      <c r="P63" s="269"/>
      <c r="Q63" s="382"/>
      <c r="R63" s="270">
        <f>SUM(S63,T63,U63,V63)</f>
        <v>0</v>
      </c>
      <c r="S63" s="270"/>
      <c r="T63" s="270"/>
      <c r="U63" s="270"/>
      <c r="V63" s="270"/>
      <c r="W63" s="49" t="s">
        <v>589</v>
      </c>
    </row>
    <row r="64" spans="1:30" ht="16.2" outlineLevel="1" x14ac:dyDescent="0.35">
      <c r="A64" s="290" t="s">
        <v>709</v>
      </c>
      <c r="B64" s="291" t="s">
        <v>714</v>
      </c>
      <c r="C64" s="237"/>
      <c r="D64" s="238" t="s">
        <v>540</v>
      </c>
      <c r="E64" s="404">
        <v>32</v>
      </c>
      <c r="F64" s="259"/>
      <c r="G64" s="232"/>
      <c r="H64" s="260"/>
      <c r="I64" s="258"/>
      <c r="J64" s="232"/>
      <c r="K64" s="250"/>
      <c r="L64" s="208"/>
      <c r="M64" s="492"/>
      <c r="N64" s="527"/>
      <c r="O64" s="206" t="s">
        <v>745</v>
      </c>
      <c r="P64" s="205">
        <v>223</v>
      </c>
      <c r="Q64" s="383"/>
      <c r="R64" s="207">
        <f>SUM(R65:R68)</f>
        <v>0</v>
      </c>
      <c r="S64" s="207">
        <f>SUM(S65:S68)</f>
        <v>0</v>
      </c>
      <c r="T64" s="207">
        <f>SUM(T65:T68)</f>
        <v>0</v>
      </c>
      <c r="U64" s="207">
        <f>SUM(U65:U68)</f>
        <v>0</v>
      </c>
      <c r="V64" s="207">
        <f>SUM(V65:V68)</f>
        <v>0</v>
      </c>
    </row>
    <row r="65" spans="1:30" ht="15.6" outlineLevel="1" x14ac:dyDescent="0.3">
      <c r="A65" s="264" t="s">
        <v>560</v>
      </c>
      <c r="B65" s="208">
        <f>$W$2</f>
        <v>2023</v>
      </c>
      <c r="C65" s="237"/>
      <c r="D65" s="237"/>
      <c r="E65" s="315"/>
      <c r="F65" s="280" t="s">
        <v>582</v>
      </c>
      <c r="G65" s="293" t="s">
        <v>850</v>
      </c>
      <c r="H65" s="208" t="s">
        <v>583</v>
      </c>
      <c r="I65" s="402"/>
      <c r="J65" s="238" t="s">
        <v>584</v>
      </c>
      <c r="K65" s="237">
        <v>14.26</v>
      </c>
      <c r="L65" s="208" t="s">
        <v>520</v>
      </c>
      <c r="M65" s="492"/>
      <c r="N65" s="527"/>
      <c r="O65" s="268"/>
      <c r="P65" s="269"/>
      <c r="Q65" s="382"/>
      <c r="R65" s="270">
        <f>SUM(S65,T65,U65,V65)</f>
        <v>0</v>
      </c>
      <c r="S65" s="270"/>
      <c r="T65" s="270"/>
      <c r="U65" s="270"/>
      <c r="V65" s="270"/>
      <c r="X65" s="56"/>
      <c r="Y65" s="56"/>
    </row>
    <row r="66" spans="1:30" ht="15.6" outlineLevel="1" x14ac:dyDescent="0.3">
      <c r="A66" s="264" t="s">
        <v>586</v>
      </c>
      <c r="B66" s="208">
        <f>$W$1</f>
        <v>2024</v>
      </c>
      <c r="C66" s="237"/>
      <c r="D66" s="237"/>
      <c r="E66" s="315"/>
      <c r="F66" s="280" t="s">
        <v>582</v>
      </c>
      <c r="G66" s="293" t="s">
        <v>850</v>
      </c>
      <c r="H66" s="208" t="s">
        <v>583</v>
      </c>
      <c r="I66" s="294"/>
      <c r="J66" s="238" t="s">
        <v>584</v>
      </c>
      <c r="K66" s="237">
        <v>14.26</v>
      </c>
      <c r="L66" s="208" t="s">
        <v>520</v>
      </c>
      <c r="M66" s="492"/>
      <c r="N66" s="527"/>
      <c r="O66" s="268"/>
      <c r="P66" s="269"/>
      <c r="Q66" s="382"/>
      <c r="R66" s="270">
        <f>SUM(S66,T66,U66,V66)</f>
        <v>0</v>
      </c>
      <c r="S66" s="270"/>
      <c r="T66" s="270"/>
      <c r="U66" s="270"/>
      <c r="V66" s="270"/>
      <c r="X66" s="56"/>
      <c r="Y66" s="56"/>
      <c r="AB66" s="56"/>
    </row>
    <row r="67" spans="1:30" ht="15.6" outlineLevel="1" x14ac:dyDescent="0.3">
      <c r="A67" s="264" t="s">
        <v>588</v>
      </c>
      <c r="B67" s="208">
        <f>$W$1</f>
        <v>2024</v>
      </c>
      <c r="C67" s="237"/>
      <c r="D67" s="237"/>
      <c r="E67" s="315"/>
      <c r="F67" s="280" t="s">
        <v>582</v>
      </c>
      <c r="G67" s="293" t="s">
        <v>850</v>
      </c>
      <c r="H67" s="208" t="s">
        <v>583</v>
      </c>
      <c r="I67" s="402"/>
      <c r="J67" s="238" t="s">
        <v>584</v>
      </c>
      <c r="K67" s="237">
        <v>14.26</v>
      </c>
      <c r="L67" s="208" t="s">
        <v>520</v>
      </c>
      <c r="M67" s="492"/>
      <c r="N67" s="527"/>
      <c r="O67" s="268"/>
      <c r="P67" s="269"/>
      <c r="Q67" s="382"/>
      <c r="R67" s="270">
        <f>SUM(S67,T67,U67,V67)</f>
        <v>0</v>
      </c>
      <c r="S67" s="270"/>
      <c r="T67" s="270"/>
      <c r="U67" s="270"/>
      <c r="V67" s="270"/>
      <c r="X67" s="56"/>
      <c r="Y67" s="56"/>
      <c r="AA67" s="403"/>
    </row>
    <row r="68" spans="1:30" ht="15.6" outlineLevel="1" x14ac:dyDescent="0.3">
      <c r="A68" s="264" t="s">
        <v>560</v>
      </c>
      <c r="B68" s="208">
        <f>$W$1</f>
        <v>2024</v>
      </c>
      <c r="C68" s="237"/>
      <c r="D68" s="237"/>
      <c r="E68" s="315"/>
      <c r="F68" s="280" t="s">
        <v>582</v>
      </c>
      <c r="G68" s="293" t="s">
        <v>850</v>
      </c>
      <c r="H68" s="208" t="s">
        <v>583</v>
      </c>
      <c r="I68" s="402"/>
      <c r="J68" s="238" t="s">
        <v>584</v>
      </c>
      <c r="K68" s="237">
        <v>14.26</v>
      </c>
      <c r="L68" s="208" t="s">
        <v>520</v>
      </c>
      <c r="M68" s="492"/>
      <c r="N68" s="527"/>
      <c r="O68" s="268"/>
      <c r="P68" s="269"/>
      <c r="Q68" s="382"/>
      <c r="R68" s="270">
        <f>SUM(S68,T68,U68,V68)</f>
        <v>0</v>
      </c>
      <c r="S68" s="270"/>
      <c r="T68" s="270"/>
      <c r="U68" s="270"/>
      <c r="V68" s="270"/>
      <c r="X68" s="56"/>
      <c r="Y68" s="56"/>
      <c r="AA68" s="403"/>
    </row>
    <row r="69" spans="1:30" ht="16.2" outlineLevel="1" x14ac:dyDescent="0.35">
      <c r="A69" s="290" t="s">
        <v>539</v>
      </c>
      <c r="B69" s="291" t="s">
        <v>716</v>
      </c>
      <c r="C69" s="237"/>
      <c r="D69" s="238" t="s">
        <v>540</v>
      </c>
      <c r="E69" s="404">
        <v>31</v>
      </c>
      <c r="F69" s="259"/>
      <c r="G69" s="232"/>
      <c r="H69" s="260"/>
      <c r="I69" s="258"/>
      <c r="J69" s="232"/>
      <c r="K69" s="250"/>
      <c r="L69" s="208"/>
      <c r="M69" s="492"/>
      <c r="N69" s="527"/>
      <c r="O69" s="206" t="s">
        <v>745</v>
      </c>
      <c r="P69" s="205">
        <v>223</v>
      </c>
      <c r="Q69" s="383"/>
      <c r="R69" s="207">
        <f>SUM(R70:R73)</f>
        <v>0</v>
      </c>
      <c r="S69" s="207">
        <f>SUM(S70:S73)</f>
        <v>0</v>
      </c>
      <c r="T69" s="207">
        <f>SUM(T70:T73)</f>
        <v>0</v>
      </c>
      <c r="U69" s="207">
        <f>SUM(U70:U73)</f>
        <v>0</v>
      </c>
      <c r="V69" s="207">
        <f>SUM(V70:V73)</f>
        <v>0</v>
      </c>
    </row>
    <row r="70" spans="1:30" ht="15.6" outlineLevel="1" x14ac:dyDescent="0.3">
      <c r="A70" s="264" t="s">
        <v>560</v>
      </c>
      <c r="B70" s="208">
        <f>$W$2</f>
        <v>2023</v>
      </c>
      <c r="C70" s="237"/>
      <c r="D70" s="237"/>
      <c r="E70" s="568"/>
      <c r="F70" s="280" t="s">
        <v>582</v>
      </c>
      <c r="G70" s="569">
        <v>3683.22</v>
      </c>
      <c r="H70" s="208" t="s">
        <v>583</v>
      </c>
      <c r="I70" s="402"/>
      <c r="J70" s="238" t="s">
        <v>584</v>
      </c>
      <c r="K70" s="237">
        <v>117.46</v>
      </c>
      <c r="L70" s="208" t="s">
        <v>520</v>
      </c>
      <c r="M70" s="492"/>
      <c r="N70" s="527"/>
      <c r="O70" s="268"/>
      <c r="P70" s="269"/>
      <c r="Q70" s="382"/>
      <c r="R70" s="270">
        <f>SUM(S70,T70,U70,V70)</f>
        <v>0</v>
      </c>
      <c r="S70" s="270"/>
      <c r="T70" s="270"/>
      <c r="U70" s="270"/>
      <c r="V70" s="270"/>
      <c r="X70" s="56"/>
      <c r="Y70" s="56"/>
    </row>
    <row r="71" spans="1:30" ht="15.6" outlineLevel="1" x14ac:dyDescent="0.3">
      <c r="A71" s="264" t="s">
        <v>586</v>
      </c>
      <c r="B71" s="208">
        <f>$W$1</f>
        <v>2024</v>
      </c>
      <c r="C71" s="237"/>
      <c r="D71" s="237"/>
      <c r="E71" s="568"/>
      <c r="F71" s="280" t="s">
        <v>582</v>
      </c>
      <c r="G71" s="569">
        <v>3683.22</v>
      </c>
      <c r="H71" s="208" t="s">
        <v>583</v>
      </c>
      <c r="I71" s="402"/>
      <c r="J71" s="238" t="s">
        <v>584</v>
      </c>
      <c r="K71" s="237">
        <v>117.46</v>
      </c>
      <c r="L71" s="208" t="s">
        <v>520</v>
      </c>
      <c r="M71" s="492"/>
      <c r="N71" s="527"/>
      <c r="O71" s="268"/>
      <c r="P71" s="269"/>
      <c r="Q71" s="382"/>
      <c r="R71" s="270">
        <f>SUM(S71,T71,U71,V71)</f>
        <v>0</v>
      </c>
      <c r="S71" s="270"/>
      <c r="T71" s="270"/>
      <c r="U71" s="270"/>
      <c r="V71" s="270"/>
      <c r="X71" s="56"/>
      <c r="Y71" s="56"/>
    </row>
    <row r="72" spans="1:30" ht="15.6" outlineLevel="1" x14ac:dyDescent="0.3">
      <c r="A72" s="264" t="s">
        <v>588</v>
      </c>
      <c r="B72" s="208">
        <f>$W$1</f>
        <v>2024</v>
      </c>
      <c r="C72" s="237"/>
      <c r="D72" s="237"/>
      <c r="E72" s="568"/>
      <c r="F72" s="280" t="s">
        <v>582</v>
      </c>
      <c r="G72" s="569">
        <v>3683.22</v>
      </c>
      <c r="H72" s="208" t="s">
        <v>583</v>
      </c>
      <c r="I72" s="402"/>
      <c r="J72" s="238" t="s">
        <v>584</v>
      </c>
      <c r="K72" s="237">
        <v>117.46</v>
      </c>
      <c r="L72" s="208" t="s">
        <v>520</v>
      </c>
      <c r="M72" s="492"/>
      <c r="N72" s="527"/>
      <c r="O72" s="268"/>
      <c r="P72" s="269"/>
      <c r="Q72" s="382"/>
      <c r="R72" s="270">
        <f>SUM(S72,T72,U72,V72)</f>
        <v>0</v>
      </c>
      <c r="S72" s="270"/>
      <c r="T72" s="270"/>
      <c r="U72" s="270"/>
      <c r="V72" s="270"/>
      <c r="X72" s="56"/>
      <c r="Y72" s="56"/>
      <c r="AA72" s="403"/>
    </row>
    <row r="73" spans="1:30" ht="15.6" outlineLevel="1" x14ac:dyDescent="0.3">
      <c r="A73" s="264" t="s">
        <v>560</v>
      </c>
      <c r="B73" s="208">
        <f>$W$1</f>
        <v>2024</v>
      </c>
      <c r="C73" s="237"/>
      <c r="D73" s="237"/>
      <c r="E73" s="568"/>
      <c r="F73" s="280" t="s">
        <v>582</v>
      </c>
      <c r="G73" s="569">
        <v>3683.22</v>
      </c>
      <c r="H73" s="208" t="s">
        <v>583</v>
      </c>
      <c r="I73" s="402"/>
      <c r="J73" s="238" t="s">
        <v>584</v>
      </c>
      <c r="K73" s="237">
        <v>117.46</v>
      </c>
      <c r="L73" s="208" t="s">
        <v>520</v>
      </c>
      <c r="M73" s="492"/>
      <c r="N73" s="527"/>
      <c r="O73" s="268"/>
      <c r="P73" s="269"/>
      <c r="Q73" s="382"/>
      <c r="R73" s="270">
        <f>SUM(S73,T73,U73,V73)</f>
        <v>0</v>
      </c>
      <c r="S73" s="270"/>
      <c r="T73" s="270"/>
      <c r="U73" s="270"/>
      <c r="V73" s="270"/>
      <c r="X73" s="56"/>
      <c r="Y73" s="56"/>
      <c r="AA73" s="403"/>
    </row>
    <row r="74" spans="1:30" ht="16.2" outlineLevel="1" x14ac:dyDescent="0.35">
      <c r="A74" s="290" t="s">
        <v>709</v>
      </c>
      <c r="B74" s="291" t="s">
        <v>708</v>
      </c>
      <c r="C74" s="237"/>
      <c r="D74" s="238" t="s">
        <v>540</v>
      </c>
      <c r="E74" s="239" t="s">
        <v>710</v>
      </c>
      <c r="F74" s="259"/>
      <c r="G74" s="232"/>
      <c r="H74" s="260"/>
      <c r="I74" s="258"/>
      <c r="J74" s="232"/>
      <c r="K74" s="250"/>
      <c r="L74" s="208"/>
      <c r="M74" s="492"/>
      <c r="N74" s="527"/>
      <c r="O74" s="206" t="s">
        <v>745</v>
      </c>
      <c r="P74" s="205">
        <v>223</v>
      </c>
      <c r="Q74" s="383"/>
      <c r="R74" s="207">
        <f>SUM(R75:R78)</f>
        <v>0</v>
      </c>
      <c r="S74" s="207">
        <f>SUM(S75:S78)</f>
        <v>0</v>
      </c>
      <c r="T74" s="207">
        <f>SUM(T75:T78)</f>
        <v>0</v>
      </c>
      <c r="U74" s="207">
        <f>SUM(U75:U78)</f>
        <v>0</v>
      </c>
      <c r="V74" s="207">
        <f>SUM(V75:V78)</f>
        <v>0</v>
      </c>
    </row>
    <row r="75" spans="1:30" ht="15.6" outlineLevel="1" x14ac:dyDescent="0.3">
      <c r="A75" s="264" t="s">
        <v>560</v>
      </c>
      <c r="B75" s="208">
        <f>$W$2</f>
        <v>2023</v>
      </c>
      <c r="C75" s="401"/>
      <c r="D75" s="401"/>
      <c r="E75" s="315"/>
      <c r="F75" s="280" t="s">
        <v>582</v>
      </c>
      <c r="G75" s="293" t="s">
        <v>850</v>
      </c>
      <c r="H75" s="208" t="s">
        <v>583</v>
      </c>
      <c r="I75" s="402"/>
      <c r="J75" s="238" t="s">
        <v>584</v>
      </c>
      <c r="K75" s="237">
        <v>14.26</v>
      </c>
      <c r="L75" s="208" t="s">
        <v>520</v>
      </c>
      <c r="M75" s="492"/>
      <c r="N75" s="527"/>
      <c r="O75" s="268"/>
      <c r="P75" s="269"/>
      <c r="Q75" s="382"/>
      <c r="R75" s="270">
        <f>SUM(S75,T75,U75,V75)</f>
        <v>0</v>
      </c>
      <c r="S75" s="270"/>
      <c r="T75" s="270"/>
      <c r="U75" s="270"/>
      <c r="V75" s="270"/>
      <c r="X75" s="56"/>
      <c r="Y75" s="56"/>
    </row>
    <row r="76" spans="1:30" ht="15.6" outlineLevel="1" x14ac:dyDescent="0.3">
      <c r="A76" s="264" t="s">
        <v>586</v>
      </c>
      <c r="B76" s="208">
        <f>$W$1</f>
        <v>2024</v>
      </c>
      <c r="C76" s="401"/>
      <c r="D76" s="401"/>
      <c r="E76" s="315"/>
      <c r="F76" s="280" t="s">
        <v>582</v>
      </c>
      <c r="G76" s="293" t="s">
        <v>850</v>
      </c>
      <c r="H76" s="208" t="s">
        <v>583</v>
      </c>
      <c r="I76" s="294"/>
      <c r="J76" s="238" t="s">
        <v>584</v>
      </c>
      <c r="K76" s="237">
        <v>14.26</v>
      </c>
      <c r="L76" s="208" t="s">
        <v>520</v>
      </c>
      <c r="M76" s="492"/>
      <c r="N76" s="527"/>
      <c r="O76" s="268"/>
      <c r="P76" s="269"/>
      <c r="Q76" s="382"/>
      <c r="R76" s="270">
        <f>SUM(S76,T76,U76,V76)</f>
        <v>0</v>
      </c>
      <c r="S76" s="270"/>
      <c r="T76" s="270"/>
      <c r="U76" s="270"/>
      <c r="V76" s="270"/>
      <c r="X76" s="56"/>
      <c r="Y76" s="56"/>
    </row>
    <row r="77" spans="1:30" ht="15.6" outlineLevel="1" x14ac:dyDescent="0.3">
      <c r="A77" s="264" t="s">
        <v>588</v>
      </c>
      <c r="B77" s="208">
        <f>$W$1</f>
        <v>2024</v>
      </c>
      <c r="C77" s="401"/>
      <c r="D77" s="401"/>
      <c r="E77" s="400"/>
      <c r="F77" s="280" t="s">
        <v>582</v>
      </c>
      <c r="G77" s="293" t="s">
        <v>850</v>
      </c>
      <c r="H77" s="208" t="s">
        <v>583</v>
      </c>
      <c r="I77" s="402"/>
      <c r="J77" s="238" t="s">
        <v>584</v>
      </c>
      <c r="K77" s="237">
        <v>14.26</v>
      </c>
      <c r="L77" s="208" t="s">
        <v>520</v>
      </c>
      <c r="M77" s="492"/>
      <c r="N77" s="527"/>
      <c r="O77" s="268"/>
      <c r="P77" s="269"/>
      <c r="Q77" s="382"/>
      <c r="R77" s="270">
        <f>SUM(S77,T77,U77,V77)</f>
        <v>0</v>
      </c>
      <c r="S77" s="270"/>
      <c r="T77" s="270"/>
      <c r="U77" s="270"/>
      <c r="V77" s="270"/>
      <c r="X77" s="56"/>
      <c r="Y77" s="56"/>
      <c r="AA77" s="403"/>
    </row>
    <row r="78" spans="1:30" ht="15.6" outlineLevel="1" x14ac:dyDescent="0.3">
      <c r="A78" s="264" t="s">
        <v>560</v>
      </c>
      <c r="B78" s="208">
        <f>$W$1</f>
        <v>2024</v>
      </c>
      <c r="C78" s="401"/>
      <c r="D78" s="401"/>
      <c r="E78" s="400"/>
      <c r="F78" s="280" t="s">
        <v>582</v>
      </c>
      <c r="G78" s="293" t="s">
        <v>850</v>
      </c>
      <c r="H78" s="208" t="s">
        <v>583</v>
      </c>
      <c r="I78" s="402"/>
      <c r="J78" s="238" t="s">
        <v>584</v>
      </c>
      <c r="K78" s="237">
        <v>14.26</v>
      </c>
      <c r="L78" s="208" t="s">
        <v>520</v>
      </c>
      <c r="M78" s="492"/>
      <c r="N78" s="527"/>
      <c r="O78" s="268"/>
      <c r="P78" s="269"/>
      <c r="Q78" s="382"/>
      <c r="R78" s="270">
        <f>SUM(S78,T78,U78,V78)</f>
        <v>0</v>
      </c>
      <c r="S78" s="270"/>
      <c r="T78" s="270"/>
      <c r="U78" s="270"/>
      <c r="V78" s="270"/>
      <c r="X78" s="56"/>
      <c r="Y78" s="56"/>
      <c r="AA78" s="403"/>
    </row>
    <row r="79" spans="1:30" s="45" customFormat="1" ht="15.6" x14ac:dyDescent="0.3">
      <c r="A79" s="240" t="s">
        <v>590</v>
      </c>
      <c r="B79" s="241"/>
      <c r="C79" s="241"/>
      <c r="D79" s="241"/>
      <c r="E79" s="286"/>
      <c r="F79" s="182"/>
      <c r="G79" s="182"/>
      <c r="H79" s="182"/>
      <c r="I79" s="295"/>
      <c r="J79" s="287"/>
      <c r="K79" s="182"/>
      <c r="L79" s="241"/>
      <c r="M79" s="499"/>
      <c r="N79" s="518" t="s">
        <v>267</v>
      </c>
      <c r="O79" s="296" t="s">
        <v>745</v>
      </c>
      <c r="P79" s="297">
        <v>223</v>
      </c>
      <c r="Q79" s="384"/>
      <c r="R79" s="207">
        <f>SUM(R80,R89,R83,R86)</f>
        <v>0</v>
      </c>
      <c r="S79" s="207">
        <f>SUM(S80,S89,S83,S86)</f>
        <v>0</v>
      </c>
      <c r="T79" s="207">
        <f>SUM(T80,T89,T83,T86)</f>
        <v>0</v>
      </c>
      <c r="U79" s="207">
        <f>SUM(U80,U89,U83,U86)</f>
        <v>0</v>
      </c>
      <c r="V79" s="207">
        <f>SUM(V80,V89,V83,V86)</f>
        <v>0</v>
      </c>
      <c r="X79" s="56"/>
      <c r="Y79" s="56"/>
      <c r="AA79" s="405"/>
      <c r="AB79" s="406"/>
      <c r="AC79" s="414"/>
      <c r="AD79" s="471"/>
    </row>
    <row r="80" spans="1:30" s="45" customFormat="1" ht="16.2" outlineLevel="1" x14ac:dyDescent="0.35">
      <c r="A80" s="290" t="s">
        <v>539</v>
      </c>
      <c r="B80" s="291" t="s">
        <v>706</v>
      </c>
      <c r="C80" s="237"/>
      <c r="D80" s="238" t="s">
        <v>540</v>
      </c>
      <c r="E80" s="239"/>
      <c r="F80" s="259"/>
      <c r="G80" s="232"/>
      <c r="H80" s="260"/>
      <c r="I80" s="258"/>
      <c r="J80" s="232"/>
      <c r="K80" s="251"/>
      <c r="L80" s="286"/>
      <c r="M80" s="498"/>
      <c r="N80" s="518"/>
      <c r="O80" s="288" t="s">
        <v>745</v>
      </c>
      <c r="P80" s="289">
        <v>223</v>
      </c>
      <c r="Q80" s="390"/>
      <c r="R80" s="207">
        <f>SUM(R81:R82)</f>
        <v>0</v>
      </c>
      <c r="S80" s="207">
        <f>SUM(S81:S82)</f>
        <v>0</v>
      </c>
      <c r="T80" s="207">
        <f>SUM(T81:T82)</f>
        <v>0</v>
      </c>
      <c r="U80" s="207">
        <f>SUM(U81:U82)</f>
        <v>0</v>
      </c>
      <c r="V80" s="207">
        <f>SUM(V81:V82)</f>
        <v>0</v>
      </c>
      <c r="AC80" s="414"/>
      <c r="AD80" s="471"/>
    </row>
    <row r="81" spans="1:30" ht="15.6" outlineLevel="1" x14ac:dyDescent="0.3">
      <c r="A81" s="264" t="s">
        <v>560</v>
      </c>
      <c r="B81" s="208">
        <f>$W$2</f>
        <v>2023</v>
      </c>
      <c r="C81" s="237"/>
      <c r="D81" s="292"/>
      <c r="E81" s="280" t="s">
        <v>591</v>
      </c>
      <c r="F81" s="280" t="s">
        <v>519</v>
      </c>
      <c r="G81" s="293" t="s">
        <v>881</v>
      </c>
      <c r="H81" s="208" t="s">
        <v>520</v>
      </c>
      <c r="I81" s="298"/>
      <c r="J81" s="238"/>
      <c r="K81" s="250"/>
      <c r="L81" s="238"/>
      <c r="M81" s="500"/>
      <c r="N81" s="528"/>
      <c r="O81" s="299"/>
      <c r="P81" s="300"/>
      <c r="Q81" s="384"/>
      <c r="R81" s="270">
        <f>SUM(S81,T81,U81,V81)</f>
        <v>0</v>
      </c>
      <c r="S81" s="270"/>
      <c r="T81" s="270"/>
      <c r="U81" s="270"/>
      <c r="V81" s="270"/>
    </row>
    <row r="82" spans="1:30" ht="15.6" outlineLevel="1" x14ac:dyDescent="0.3">
      <c r="A82" s="264" t="s">
        <v>563</v>
      </c>
      <c r="B82" s="208">
        <f>$W$1</f>
        <v>2024</v>
      </c>
      <c r="C82" s="237"/>
      <c r="D82" s="292"/>
      <c r="E82" s="280" t="s">
        <v>591</v>
      </c>
      <c r="F82" s="280" t="s">
        <v>519</v>
      </c>
      <c r="G82" s="293" t="s">
        <v>882</v>
      </c>
      <c r="H82" s="208" t="s">
        <v>520</v>
      </c>
      <c r="I82" s="298"/>
      <c r="J82" s="238"/>
      <c r="K82" s="250"/>
      <c r="L82" s="238"/>
      <c r="M82" s="500"/>
      <c r="N82" s="528"/>
      <c r="O82" s="299"/>
      <c r="P82" s="300"/>
      <c r="Q82" s="384"/>
      <c r="R82" s="270">
        <f>SUM(S82,T82,U82,V82)</f>
        <v>0</v>
      </c>
      <c r="S82" s="270"/>
      <c r="T82" s="270"/>
      <c r="U82" s="270"/>
      <c r="V82" s="270"/>
    </row>
    <row r="83" spans="1:30" s="45" customFormat="1" ht="16.2" outlineLevel="1" x14ac:dyDescent="0.35">
      <c r="A83" s="290" t="s">
        <v>709</v>
      </c>
      <c r="B83" s="291" t="s">
        <v>714</v>
      </c>
      <c r="C83" s="237"/>
      <c r="D83" s="238" t="s">
        <v>540</v>
      </c>
      <c r="E83" s="404"/>
      <c r="F83" s="259"/>
      <c r="G83" s="232"/>
      <c r="H83" s="260"/>
      <c r="I83" s="258"/>
      <c r="J83" s="232"/>
      <c r="K83" s="251"/>
      <c r="L83" s="286"/>
      <c r="M83" s="498"/>
      <c r="N83" s="518"/>
      <c r="O83" s="288" t="s">
        <v>745</v>
      </c>
      <c r="P83" s="289">
        <v>223</v>
      </c>
      <c r="Q83" s="390"/>
      <c r="R83" s="207">
        <f>SUM(R84:R85)</f>
        <v>0</v>
      </c>
      <c r="S83" s="207">
        <f>SUM(S84:S85)</f>
        <v>0</v>
      </c>
      <c r="T83" s="207">
        <f>SUM(T84:T85)</f>
        <v>0</v>
      </c>
      <c r="U83" s="207">
        <f>SUM(U84:U85)</f>
        <v>0</v>
      </c>
      <c r="V83" s="207">
        <f>SUM(V84:V85)</f>
        <v>0</v>
      </c>
      <c r="AC83" s="414"/>
      <c r="AD83" s="471"/>
    </row>
    <row r="84" spans="1:30" ht="15.6" outlineLevel="1" x14ac:dyDescent="0.3">
      <c r="A84" s="264" t="s">
        <v>560</v>
      </c>
      <c r="B84" s="208">
        <f>$W$2</f>
        <v>2023</v>
      </c>
      <c r="C84" s="401"/>
      <c r="D84" s="402"/>
      <c r="E84" s="280" t="s">
        <v>591</v>
      </c>
      <c r="F84" s="280" t="s">
        <v>519</v>
      </c>
      <c r="G84" s="293" t="s">
        <v>881</v>
      </c>
      <c r="H84" s="208" t="s">
        <v>520</v>
      </c>
      <c r="I84" s="298"/>
      <c r="J84" s="238"/>
      <c r="K84" s="250"/>
      <c r="L84" s="238"/>
      <c r="M84" s="500"/>
      <c r="N84" s="528"/>
      <c r="O84" s="299"/>
      <c r="P84" s="300"/>
      <c r="Q84" s="384"/>
      <c r="R84" s="270">
        <f>SUM(S84,T84,U84,V84)</f>
        <v>0</v>
      </c>
      <c r="S84" s="270"/>
      <c r="T84" s="270"/>
      <c r="U84" s="270"/>
      <c r="V84" s="270"/>
    </row>
    <row r="85" spans="1:30" ht="15.6" outlineLevel="1" x14ac:dyDescent="0.3">
      <c r="A85" s="264" t="s">
        <v>563</v>
      </c>
      <c r="B85" s="208">
        <f>$W$1</f>
        <v>2024</v>
      </c>
      <c r="C85" s="401"/>
      <c r="D85" s="402"/>
      <c r="E85" s="280" t="s">
        <v>591</v>
      </c>
      <c r="F85" s="280" t="s">
        <v>519</v>
      </c>
      <c r="G85" s="293" t="s">
        <v>882</v>
      </c>
      <c r="H85" s="208" t="s">
        <v>520</v>
      </c>
      <c r="I85" s="298"/>
      <c r="J85" s="238"/>
      <c r="K85" s="250"/>
      <c r="L85" s="238"/>
      <c r="M85" s="500"/>
      <c r="N85" s="528"/>
      <c r="O85" s="299"/>
      <c r="P85" s="300"/>
      <c r="Q85" s="384"/>
      <c r="R85" s="270">
        <f>SUM(S85,T85,U85,V85)</f>
        <v>0</v>
      </c>
      <c r="S85" s="270"/>
      <c r="T85" s="270"/>
      <c r="U85" s="270"/>
      <c r="V85" s="270"/>
    </row>
    <row r="86" spans="1:30" s="45" customFormat="1" ht="16.2" outlineLevel="1" x14ac:dyDescent="0.35">
      <c r="A86" s="290" t="s">
        <v>539</v>
      </c>
      <c r="B86" s="291" t="s">
        <v>716</v>
      </c>
      <c r="C86" s="237"/>
      <c r="D86" s="238" t="s">
        <v>540</v>
      </c>
      <c r="E86" s="404"/>
      <c r="F86" s="259"/>
      <c r="G86" s="232"/>
      <c r="H86" s="260"/>
      <c r="I86" s="258"/>
      <c r="J86" s="232"/>
      <c r="K86" s="251"/>
      <c r="L86" s="286"/>
      <c r="M86" s="498"/>
      <c r="N86" s="518"/>
      <c r="O86" s="288" t="s">
        <v>745</v>
      </c>
      <c r="P86" s="289">
        <v>223</v>
      </c>
      <c r="Q86" s="390"/>
      <c r="R86" s="207">
        <f>SUM(R87:R88)</f>
        <v>0</v>
      </c>
      <c r="S86" s="207">
        <f>SUM(S87:S88)</f>
        <v>0</v>
      </c>
      <c r="T86" s="207">
        <f>SUM(T87:T88)</f>
        <v>0</v>
      </c>
      <c r="U86" s="207">
        <f>SUM(U87:U88)</f>
        <v>0</v>
      </c>
      <c r="V86" s="207">
        <f>SUM(V87:V88)</f>
        <v>0</v>
      </c>
      <c r="AC86" s="414"/>
      <c r="AD86" s="471"/>
    </row>
    <row r="87" spans="1:30" ht="15.6" outlineLevel="1" x14ac:dyDescent="0.3">
      <c r="A87" s="264" t="s">
        <v>560</v>
      </c>
      <c r="B87" s="208">
        <f>$W$2</f>
        <v>2023</v>
      </c>
      <c r="C87" s="237"/>
      <c r="D87" s="402"/>
      <c r="E87" s="280" t="s">
        <v>591</v>
      </c>
      <c r="F87" s="280" t="s">
        <v>519</v>
      </c>
      <c r="G87" s="293" t="s">
        <v>880</v>
      </c>
      <c r="H87" s="208" t="s">
        <v>520</v>
      </c>
      <c r="I87" s="298"/>
      <c r="J87" s="238"/>
      <c r="K87" s="250"/>
      <c r="L87" s="238"/>
      <c r="M87" s="500"/>
      <c r="N87" s="528"/>
      <c r="O87" s="299"/>
      <c r="P87" s="300"/>
      <c r="Q87" s="384"/>
      <c r="R87" s="270">
        <f>SUM(S87,T87,U87,V87)</f>
        <v>0</v>
      </c>
      <c r="S87" s="270"/>
      <c r="T87" s="270"/>
      <c r="U87" s="270"/>
      <c r="V87" s="270"/>
    </row>
    <row r="88" spans="1:30" ht="15.6" outlineLevel="1" x14ac:dyDescent="0.3">
      <c r="A88" s="264" t="s">
        <v>563</v>
      </c>
      <c r="B88" s="208">
        <f>$W$1</f>
        <v>2024</v>
      </c>
      <c r="C88" s="237"/>
      <c r="D88" s="402"/>
      <c r="E88" s="280" t="s">
        <v>591</v>
      </c>
      <c r="F88" s="280" t="s">
        <v>519</v>
      </c>
      <c r="G88" s="293" t="s">
        <v>880</v>
      </c>
      <c r="H88" s="208" t="s">
        <v>520</v>
      </c>
      <c r="I88" s="298"/>
      <c r="J88" s="238"/>
      <c r="K88" s="250"/>
      <c r="L88" s="238"/>
      <c r="M88" s="500"/>
      <c r="N88" s="528"/>
      <c r="O88" s="299"/>
      <c r="P88" s="300"/>
      <c r="Q88" s="384"/>
      <c r="R88" s="270">
        <f>SUM(S88,T88,U88,V88)</f>
        <v>0</v>
      </c>
      <c r="S88" s="270"/>
      <c r="T88" s="270"/>
      <c r="U88" s="270"/>
      <c r="V88" s="270"/>
    </row>
    <row r="89" spans="1:30" s="45" customFormat="1" ht="16.2" outlineLevel="1" x14ac:dyDescent="0.35">
      <c r="A89" s="290" t="s">
        <v>709</v>
      </c>
      <c r="B89" s="291" t="s">
        <v>708</v>
      </c>
      <c r="C89" s="237"/>
      <c r="D89" s="238" t="s">
        <v>540</v>
      </c>
      <c r="E89" s="239"/>
      <c r="F89" s="259"/>
      <c r="G89" s="232"/>
      <c r="H89" s="260"/>
      <c r="I89" s="258"/>
      <c r="J89" s="232"/>
      <c r="K89" s="251"/>
      <c r="L89" s="286"/>
      <c r="M89" s="498"/>
      <c r="N89" s="518"/>
      <c r="O89" s="288" t="s">
        <v>745</v>
      </c>
      <c r="P89" s="289">
        <v>223</v>
      </c>
      <c r="Q89" s="390"/>
      <c r="R89" s="207">
        <f>SUM(R90:R91)</f>
        <v>0</v>
      </c>
      <c r="S89" s="207">
        <f>SUM(S90:S91)</f>
        <v>0</v>
      </c>
      <c r="T89" s="207">
        <f>SUM(T90:T91)</f>
        <v>0</v>
      </c>
      <c r="U89" s="207">
        <f>SUM(U90:U91)</f>
        <v>0</v>
      </c>
      <c r="V89" s="207">
        <f>SUM(V90:V91)</f>
        <v>0</v>
      </c>
      <c r="AC89" s="414"/>
      <c r="AD89" s="471"/>
    </row>
    <row r="90" spans="1:30" ht="15.6" outlineLevel="1" x14ac:dyDescent="0.3">
      <c r="A90" s="264" t="s">
        <v>560</v>
      </c>
      <c r="B90" s="208">
        <f>$W$2</f>
        <v>2023</v>
      </c>
      <c r="C90" s="402"/>
      <c r="D90" s="402"/>
      <c r="E90" s="280" t="s">
        <v>591</v>
      </c>
      <c r="F90" s="280" t="s">
        <v>519</v>
      </c>
      <c r="G90" s="293" t="s">
        <v>883</v>
      </c>
      <c r="H90" s="208" t="s">
        <v>520</v>
      </c>
      <c r="I90" s="298"/>
      <c r="J90" s="238"/>
      <c r="K90" s="250"/>
      <c r="L90" s="238"/>
      <c r="M90" s="500"/>
      <c r="N90" s="528"/>
      <c r="O90" s="299"/>
      <c r="P90" s="300"/>
      <c r="Q90" s="384"/>
      <c r="R90" s="270">
        <f>SUM(S90,T90,U90,V90)</f>
        <v>0</v>
      </c>
      <c r="S90" s="270"/>
      <c r="T90" s="270"/>
      <c r="U90" s="270"/>
      <c r="V90" s="270"/>
    </row>
    <row r="91" spans="1:30" ht="15.6" outlineLevel="1" x14ac:dyDescent="0.3">
      <c r="A91" s="264" t="s">
        <v>563</v>
      </c>
      <c r="B91" s="208">
        <f>$W$1</f>
        <v>2024</v>
      </c>
      <c r="C91" s="402"/>
      <c r="D91" s="402"/>
      <c r="E91" s="280" t="s">
        <v>591</v>
      </c>
      <c r="F91" s="280" t="s">
        <v>519</v>
      </c>
      <c r="G91" s="293" t="s">
        <v>884</v>
      </c>
      <c r="H91" s="208" t="s">
        <v>520</v>
      </c>
      <c r="I91" s="298"/>
      <c r="J91" s="238"/>
      <c r="K91" s="250"/>
      <c r="L91" s="238"/>
      <c r="M91" s="500"/>
      <c r="N91" s="528"/>
      <c r="O91" s="299"/>
      <c r="P91" s="300"/>
      <c r="Q91" s="384"/>
      <c r="R91" s="270">
        <f>SUM(S91,T91,U91,V91)</f>
        <v>0</v>
      </c>
      <c r="S91" s="270"/>
      <c r="T91" s="270"/>
      <c r="U91" s="270"/>
      <c r="V91" s="270"/>
    </row>
    <row r="92" spans="1:30" s="45" customFormat="1" ht="21" x14ac:dyDescent="0.3">
      <c r="A92" s="253" t="s">
        <v>555</v>
      </c>
      <c r="B92" s="254"/>
      <c r="C92" s="254"/>
      <c r="D92" s="254"/>
      <c r="E92" s="254"/>
      <c r="F92" s="254"/>
      <c r="G92" s="254"/>
      <c r="H92" s="254"/>
      <c r="I92" s="254"/>
      <c r="J92" s="254"/>
      <c r="K92" s="254"/>
      <c r="L92" s="254"/>
      <c r="M92" s="501"/>
      <c r="N92" s="529"/>
      <c r="O92" s="255">
        <v>244</v>
      </c>
      <c r="P92" s="256"/>
      <c r="Q92" s="389"/>
      <c r="R92" s="199">
        <f>SUM(R93,R117,R125,R133,R134,R157,R221,R248,R249,R254,R379,R404,R408,R409,R422,R423,R490,R491,R494,R568,R618,R654,R680,R705,R1084,R1169,R1170,R1175,R140,R137,R594)</f>
        <v>0</v>
      </c>
      <c r="S92" s="199">
        <f>SUM(S93,S117,S125,S133,S134,S157,S221,S248,S249,S254,S379,S404,S408,S409,S422,S423,S490,S491,S494,S568,S618,S654,S680,S705,S1084,S1169,S1170,S1175,S140,S137,S594)</f>
        <v>0</v>
      </c>
      <c r="T92" s="199">
        <f>SUM(T93,T117,T125,T133,T134,T157,T221,T248,T249,T254,T379,T404,T408,T409,T422,T423,T490,T491,T494,T568,T618,T654,T680,T705,T1084,T1169,T1170,T1175,T140,T137,T594)</f>
        <v>0</v>
      </c>
      <c r="U92" s="199">
        <f>SUM(U93,U117,U125,U133,U134,U157,U221,U248,U249,U254,U379,U404,U408,U409,U422,U423,U490,U491,U494,U568,U618,U654,U680,U705,U1084,U1169,U1170,U1175,U140,U137,U594)</f>
        <v>0</v>
      </c>
      <c r="V92" s="199">
        <f>SUM(V93,V117,V125,V133,V134,V157,V221,V248,V249,V254,V379,V404,V408,V409,V422,V423,V490,V491,V494,V568,V618,V654,V680,V705,V1084,V1169,V1170,V1175,V140,V137,V594)</f>
        <v>0</v>
      </c>
      <c r="X92" s="434"/>
      <c r="Y92" s="379"/>
      <c r="AC92" s="251"/>
      <c r="AD92" s="251"/>
    </row>
    <row r="93" spans="1:30" s="447" customFormat="1" ht="15.6" x14ac:dyDescent="0.3">
      <c r="A93" s="442" t="s">
        <v>556</v>
      </c>
      <c r="B93" s="443"/>
      <c r="C93" s="443"/>
      <c r="D93" s="443"/>
      <c r="E93" s="444"/>
      <c r="F93" s="444"/>
      <c r="G93" s="444"/>
      <c r="H93" s="443"/>
      <c r="I93" s="443"/>
      <c r="J93" s="443"/>
      <c r="K93" s="443"/>
      <c r="L93" s="443"/>
      <c r="M93" s="502"/>
      <c r="N93" s="530" t="s">
        <v>262</v>
      </c>
      <c r="O93" s="445">
        <v>244</v>
      </c>
      <c r="P93" s="446">
        <v>221</v>
      </c>
      <c r="Q93" s="384"/>
      <c r="R93" s="215">
        <f>SUM(R94,R98,R101,R105,R108,R111,R114)</f>
        <v>0</v>
      </c>
      <c r="S93" s="215">
        <f>SUM(S94,S98,S101,S105,S108,S111,S114)</f>
        <v>0</v>
      </c>
      <c r="T93" s="215">
        <f>SUM(T94,T98,T101,T105,T108,T111,T114)</f>
        <v>0</v>
      </c>
      <c r="U93" s="215">
        <f>SUM(U94,U98,U101,U105,U108,U111,U114)</f>
        <v>0</v>
      </c>
      <c r="V93" s="215">
        <f>SUM(V94,V98,V101,V105,V108,V111,V114)</f>
        <v>0</v>
      </c>
      <c r="W93" s="72" t="s">
        <v>557</v>
      </c>
      <c r="AC93" s="414"/>
      <c r="AD93" s="471"/>
    </row>
    <row r="94" spans="1:30" ht="16.2" outlineLevel="1" x14ac:dyDescent="0.35">
      <c r="A94" s="257" t="s">
        <v>558</v>
      </c>
      <c r="B94" s="258"/>
      <c r="C94" s="250"/>
      <c r="D94" s="250"/>
      <c r="E94" s="250"/>
      <c r="F94" s="259"/>
      <c r="G94" s="232"/>
      <c r="H94" s="260"/>
      <c r="I94" s="258"/>
      <c r="J94" s="232"/>
      <c r="K94" s="250"/>
      <c r="L94" s="258"/>
      <c r="M94" s="503"/>
      <c r="N94" s="531"/>
      <c r="O94" s="261">
        <v>244</v>
      </c>
      <c r="P94" s="262">
        <v>221</v>
      </c>
      <c r="Q94" s="382"/>
      <c r="R94" s="263">
        <f>SUM(R95:R97)</f>
        <v>0</v>
      </c>
      <c r="S94" s="263">
        <f>SUM(S95:S97)</f>
        <v>0</v>
      </c>
      <c r="T94" s="263">
        <f>SUM(T95:T97)</f>
        <v>0</v>
      </c>
      <c r="U94" s="263">
        <f>SUM(U95:U97)</f>
        <v>0</v>
      </c>
      <c r="V94" s="263">
        <f>SUM(V95:V97)</f>
        <v>0</v>
      </c>
      <c r="W94" s="49" t="s">
        <v>559</v>
      </c>
    </row>
    <row r="95" spans="1:30" ht="15.6" outlineLevel="1" x14ac:dyDescent="0.3">
      <c r="A95" s="264" t="s">
        <v>560</v>
      </c>
      <c r="B95" s="208">
        <f>$W$2</f>
        <v>2023</v>
      </c>
      <c r="C95" s="211"/>
      <c r="D95" s="265"/>
      <c r="E95" s="208" t="s">
        <v>561</v>
      </c>
      <c r="F95" s="208" t="s">
        <v>519</v>
      </c>
      <c r="G95" s="266">
        <v>0.79</v>
      </c>
      <c r="H95" s="208" t="s">
        <v>520</v>
      </c>
      <c r="I95" s="266">
        <v>0.44</v>
      </c>
      <c r="J95" s="208" t="s">
        <v>520</v>
      </c>
      <c r="K95" s="208"/>
      <c r="L95" s="208"/>
      <c r="M95" s="492"/>
      <c r="N95" s="527"/>
      <c r="O95" s="268"/>
      <c r="P95" s="269"/>
      <c r="Q95" s="382">
        <v>1</v>
      </c>
      <c r="R95" s="270">
        <f>SUM(S95,T95,U95,V95)</f>
        <v>0</v>
      </c>
      <c r="S95" s="270"/>
      <c r="T95" s="270"/>
      <c r="U95" s="270"/>
      <c r="V95" s="270"/>
      <c r="W95" s="49" t="s">
        <v>562</v>
      </c>
    </row>
    <row r="96" spans="1:30" ht="15.6" outlineLevel="1" x14ac:dyDescent="0.3">
      <c r="A96" s="264" t="s">
        <v>799</v>
      </c>
      <c r="B96" s="208">
        <f>$W$1</f>
        <v>2024</v>
      </c>
      <c r="C96" s="211"/>
      <c r="D96" s="265"/>
      <c r="E96" s="208" t="s">
        <v>561</v>
      </c>
      <c r="F96" s="208" t="s">
        <v>519</v>
      </c>
      <c r="G96" s="266">
        <v>0.79</v>
      </c>
      <c r="H96" s="208" t="s">
        <v>520</v>
      </c>
      <c r="I96" s="266">
        <v>0.44</v>
      </c>
      <c r="J96" s="208" t="s">
        <v>520</v>
      </c>
      <c r="K96" s="208"/>
      <c r="L96" s="208"/>
      <c r="M96" s="492"/>
      <c r="N96" s="527"/>
      <c r="O96" s="268"/>
      <c r="P96" s="269"/>
      <c r="Q96" s="382">
        <v>5</v>
      </c>
      <c r="R96" s="270">
        <f>SUM(S96,T96,U96,V96)</f>
        <v>0</v>
      </c>
      <c r="S96" s="270"/>
      <c r="T96" s="270"/>
      <c r="U96" s="270"/>
      <c r="V96" s="270"/>
      <c r="W96" s="49" t="s">
        <v>564</v>
      </c>
    </row>
    <row r="97" spans="1:23" ht="15.6" outlineLevel="1" x14ac:dyDescent="0.3">
      <c r="A97" s="264" t="s">
        <v>800</v>
      </c>
      <c r="B97" s="208">
        <f>$W$1</f>
        <v>2024</v>
      </c>
      <c r="C97" s="211"/>
      <c r="D97" s="265"/>
      <c r="E97" s="208" t="s">
        <v>561</v>
      </c>
      <c r="F97" s="208" t="s">
        <v>519</v>
      </c>
      <c r="G97" s="266">
        <v>0.79</v>
      </c>
      <c r="H97" s="208" t="s">
        <v>520</v>
      </c>
      <c r="I97" s="266">
        <v>0.44</v>
      </c>
      <c r="J97" s="208" t="s">
        <v>520</v>
      </c>
      <c r="K97" s="208"/>
      <c r="L97" s="208"/>
      <c r="M97" s="492"/>
      <c r="N97" s="527"/>
      <c r="O97" s="268"/>
      <c r="P97" s="269"/>
      <c r="Q97" s="382">
        <v>3</v>
      </c>
      <c r="R97" s="270">
        <f>SUM(S97,T97,U97,V97)</f>
        <v>0</v>
      </c>
      <c r="S97" s="270"/>
      <c r="T97" s="270"/>
      <c r="U97" s="270"/>
      <c r="V97" s="270"/>
      <c r="W97" s="49" t="s">
        <v>564</v>
      </c>
    </row>
    <row r="98" spans="1:23" ht="16.2" outlineLevel="1" x14ac:dyDescent="0.35">
      <c r="A98" s="257" t="s">
        <v>805</v>
      </c>
      <c r="B98" s="258"/>
      <c r="C98" s="258"/>
      <c r="D98" s="250"/>
      <c r="E98" s="250"/>
      <c r="F98" s="259"/>
      <c r="G98" s="232"/>
      <c r="H98" s="260"/>
      <c r="I98" s="258"/>
      <c r="J98" s="232"/>
      <c r="K98" s="250"/>
      <c r="L98" s="258"/>
      <c r="M98" s="503"/>
      <c r="N98" s="531"/>
      <c r="O98" s="261">
        <v>244</v>
      </c>
      <c r="P98" s="262">
        <v>221</v>
      </c>
      <c r="Q98" s="382"/>
      <c r="R98" s="263">
        <f>SUM(R99:R100)</f>
        <v>0</v>
      </c>
      <c r="S98" s="263">
        <f>SUM(S99:S100)</f>
        <v>0</v>
      </c>
      <c r="T98" s="263">
        <f>SUM(T99:T100)</f>
        <v>0</v>
      </c>
      <c r="U98" s="263">
        <f>SUM(U99:U100)</f>
        <v>0</v>
      </c>
      <c r="V98" s="263">
        <f>SUM(V99:V100)</f>
        <v>0</v>
      </c>
      <c r="W98" s="49" t="s">
        <v>565</v>
      </c>
    </row>
    <row r="99" spans="1:23" ht="15.6" outlineLevel="1" x14ac:dyDescent="0.3">
      <c r="A99" s="264" t="s">
        <v>560</v>
      </c>
      <c r="B99" s="208">
        <f>$W$2</f>
        <v>2023</v>
      </c>
      <c r="C99" s="208"/>
      <c r="D99" s="267"/>
      <c r="E99" s="208" t="s">
        <v>574</v>
      </c>
      <c r="F99" s="208" t="s">
        <v>519</v>
      </c>
      <c r="G99" s="271">
        <v>182.4</v>
      </c>
      <c r="H99" s="208" t="s">
        <v>520</v>
      </c>
      <c r="I99" s="208"/>
      <c r="J99" s="208"/>
      <c r="K99" s="250"/>
      <c r="L99" s="208"/>
      <c r="M99" s="492"/>
      <c r="N99" s="527"/>
      <c r="O99" s="268"/>
      <c r="P99" s="269"/>
      <c r="Q99" s="382">
        <v>1</v>
      </c>
      <c r="R99" s="270">
        <f>SUM(S99,T99,U99,V99)</f>
        <v>0</v>
      </c>
      <c r="S99" s="270"/>
      <c r="T99" s="270"/>
      <c r="U99" s="270"/>
      <c r="V99" s="270"/>
      <c r="W99" s="49" t="s">
        <v>567</v>
      </c>
    </row>
    <row r="100" spans="1:23" ht="15.6" outlineLevel="1" x14ac:dyDescent="0.3">
      <c r="A100" s="264" t="s">
        <v>563</v>
      </c>
      <c r="B100" s="208">
        <f>$W$1</f>
        <v>2024</v>
      </c>
      <c r="C100" s="208"/>
      <c r="D100" s="267"/>
      <c r="E100" s="208" t="s">
        <v>574</v>
      </c>
      <c r="F100" s="208" t="s">
        <v>519</v>
      </c>
      <c r="G100" s="271">
        <v>182.4</v>
      </c>
      <c r="H100" s="208" t="s">
        <v>520</v>
      </c>
      <c r="I100" s="208"/>
      <c r="J100" s="208"/>
      <c r="K100" s="250"/>
      <c r="L100" s="208"/>
      <c r="M100" s="492"/>
      <c r="N100" s="527"/>
      <c r="O100" s="268"/>
      <c r="P100" s="269"/>
      <c r="Q100" s="382">
        <v>8</v>
      </c>
      <c r="R100" s="270">
        <f>SUM(S100,T100,U100,V100)</f>
        <v>0</v>
      </c>
      <c r="S100" s="270"/>
      <c r="T100" s="270"/>
      <c r="U100" s="270"/>
      <c r="V100" s="270"/>
    </row>
    <row r="101" spans="1:23" ht="16.2" outlineLevel="1" x14ac:dyDescent="0.35">
      <c r="A101" s="257" t="s">
        <v>568</v>
      </c>
      <c r="B101" s="258"/>
      <c r="C101" s="272"/>
      <c r="D101" s="182"/>
      <c r="E101" s="258"/>
      <c r="F101" s="259"/>
      <c r="G101" s="232"/>
      <c r="H101" s="260"/>
      <c r="I101" s="258"/>
      <c r="J101" s="232"/>
      <c r="K101" s="250"/>
      <c r="L101" s="258"/>
      <c r="M101" s="503"/>
      <c r="N101" s="531"/>
      <c r="O101" s="261">
        <v>244</v>
      </c>
      <c r="P101" s="262">
        <v>221</v>
      </c>
      <c r="Q101" s="382"/>
      <c r="R101" s="263">
        <f>SUM(R102:R104)</f>
        <v>0</v>
      </c>
      <c r="S101" s="263">
        <f>SUM(S102:S104)</f>
        <v>0</v>
      </c>
      <c r="T101" s="263">
        <f>SUM(T102:T104)</f>
        <v>0</v>
      </c>
      <c r="U101" s="263">
        <f>SUM(U102:U104)</f>
        <v>0</v>
      </c>
      <c r="V101" s="263">
        <f>SUM(V102:V104)</f>
        <v>0</v>
      </c>
    </row>
    <row r="102" spans="1:23" ht="15.6" outlineLevel="1" x14ac:dyDescent="0.3">
      <c r="A102" s="264" t="s">
        <v>560</v>
      </c>
      <c r="B102" s="208">
        <f>$W$2</f>
        <v>2023</v>
      </c>
      <c r="C102" s="208"/>
      <c r="D102" s="267"/>
      <c r="E102" s="208" t="s">
        <v>566</v>
      </c>
      <c r="F102" s="208" t="s">
        <v>519</v>
      </c>
      <c r="G102" s="271">
        <v>270.94</v>
      </c>
      <c r="H102" s="208" t="s">
        <v>520</v>
      </c>
      <c r="I102" s="271">
        <v>221</v>
      </c>
      <c r="J102" s="208" t="s">
        <v>520</v>
      </c>
      <c r="K102" s="271">
        <v>307.2</v>
      </c>
      <c r="L102" s="208" t="s">
        <v>520</v>
      </c>
      <c r="M102" s="492"/>
      <c r="N102" s="527"/>
      <c r="O102" s="268"/>
      <c r="P102" s="269"/>
      <c r="Q102" s="382">
        <v>1</v>
      </c>
      <c r="R102" s="270">
        <f>SUM(S102,T102,U102,V102)</f>
        <v>0</v>
      </c>
      <c r="S102" s="270"/>
      <c r="T102" s="270"/>
      <c r="U102" s="270"/>
      <c r="V102" s="270"/>
    </row>
    <row r="103" spans="1:23" ht="15.6" outlineLevel="1" x14ac:dyDescent="0.3">
      <c r="A103" s="264" t="s">
        <v>799</v>
      </c>
      <c r="B103" s="208">
        <f>$W$1</f>
        <v>2024</v>
      </c>
      <c r="C103" s="208"/>
      <c r="D103" s="267"/>
      <c r="E103" s="208" t="s">
        <v>566</v>
      </c>
      <c r="F103" s="208" t="s">
        <v>519</v>
      </c>
      <c r="G103" s="271">
        <v>270.94</v>
      </c>
      <c r="H103" s="208" t="s">
        <v>520</v>
      </c>
      <c r="I103" s="271">
        <v>221</v>
      </c>
      <c r="J103" s="208" t="s">
        <v>520</v>
      </c>
      <c r="K103" s="271">
        <v>307.2</v>
      </c>
      <c r="L103" s="208" t="s">
        <v>520</v>
      </c>
      <c r="M103" s="492"/>
      <c r="N103" s="527"/>
      <c r="O103" s="268"/>
      <c r="P103" s="269"/>
      <c r="Q103" s="382">
        <v>5</v>
      </c>
      <c r="R103" s="270">
        <f>SUM(S103,T103,U103,V103)</f>
        <v>0</v>
      </c>
      <c r="S103" s="270"/>
      <c r="T103" s="270"/>
      <c r="U103" s="270"/>
      <c r="V103" s="270"/>
    </row>
    <row r="104" spans="1:23" ht="15.6" outlineLevel="1" x14ac:dyDescent="0.3">
      <c r="A104" s="264" t="s">
        <v>800</v>
      </c>
      <c r="B104" s="208">
        <f>$W$1</f>
        <v>2024</v>
      </c>
      <c r="C104" s="208"/>
      <c r="D104" s="267"/>
      <c r="E104" s="208" t="s">
        <v>566</v>
      </c>
      <c r="F104" s="208" t="s">
        <v>519</v>
      </c>
      <c r="G104" s="271">
        <v>270.94</v>
      </c>
      <c r="H104" s="208" t="s">
        <v>520</v>
      </c>
      <c r="I104" s="271">
        <v>221</v>
      </c>
      <c r="J104" s="208" t="s">
        <v>520</v>
      </c>
      <c r="K104" s="271">
        <v>307.2</v>
      </c>
      <c r="L104" s="208" t="s">
        <v>520</v>
      </c>
      <c r="M104" s="492"/>
      <c r="N104" s="527"/>
      <c r="O104" s="268"/>
      <c r="P104" s="269"/>
      <c r="Q104" s="382">
        <v>3</v>
      </c>
      <c r="R104" s="270">
        <f>SUM(S104,T104,U104,V104)</f>
        <v>0</v>
      </c>
      <c r="S104" s="270"/>
      <c r="T104" s="270"/>
      <c r="U104" s="270"/>
      <c r="V104" s="270"/>
    </row>
    <row r="105" spans="1:23" ht="16.2" outlineLevel="1" x14ac:dyDescent="0.35">
      <c r="A105" s="257" t="s">
        <v>569</v>
      </c>
      <c r="B105" s="258"/>
      <c r="C105" s="258"/>
      <c r="D105" s="258"/>
      <c r="E105" s="258"/>
      <c r="F105" s="259"/>
      <c r="G105" s="232"/>
      <c r="H105" s="260"/>
      <c r="I105" s="258"/>
      <c r="J105" s="232"/>
      <c r="K105" s="250"/>
      <c r="L105" s="258"/>
      <c r="M105" s="503"/>
      <c r="N105" s="531"/>
      <c r="O105" s="261">
        <v>244</v>
      </c>
      <c r="P105" s="262">
        <v>221</v>
      </c>
      <c r="Q105" s="382"/>
      <c r="R105" s="263">
        <f>SUM(R106:R107)</f>
        <v>0</v>
      </c>
      <c r="S105" s="263">
        <f>SUM(S106:S107)</f>
        <v>0</v>
      </c>
      <c r="T105" s="263">
        <f>SUM(T106:T107)</f>
        <v>0</v>
      </c>
      <c r="U105" s="263">
        <f>SUM(U106:U107)</f>
        <v>0</v>
      </c>
      <c r="V105" s="263">
        <f>SUM(V106:V107)</f>
        <v>0</v>
      </c>
    </row>
    <row r="106" spans="1:23" ht="15.6" outlineLevel="1" x14ac:dyDescent="0.3">
      <c r="A106" s="264" t="s">
        <v>560</v>
      </c>
      <c r="B106" s="208">
        <f>$W$2</f>
        <v>2023</v>
      </c>
      <c r="C106" s="208"/>
      <c r="D106" s="267"/>
      <c r="E106" s="208" t="s">
        <v>566</v>
      </c>
      <c r="F106" s="208" t="s">
        <v>519</v>
      </c>
      <c r="G106" s="271">
        <v>48</v>
      </c>
      <c r="H106" s="208" t="s">
        <v>520</v>
      </c>
      <c r="I106" s="271"/>
      <c r="J106" s="208" t="s">
        <v>520</v>
      </c>
      <c r="K106" s="250"/>
      <c r="L106" s="208"/>
      <c r="M106" s="492"/>
      <c r="N106" s="527"/>
      <c r="O106" s="268"/>
      <c r="P106" s="269"/>
      <c r="Q106" s="382"/>
      <c r="R106" s="270">
        <f>SUM(S106,T106,U106,V106)</f>
        <v>0</v>
      </c>
      <c r="S106" s="270"/>
      <c r="T106" s="270"/>
      <c r="U106" s="270"/>
      <c r="V106" s="270"/>
    </row>
    <row r="107" spans="1:23" ht="15.6" outlineLevel="1" x14ac:dyDescent="0.3">
      <c r="A107" s="264" t="s">
        <v>563</v>
      </c>
      <c r="B107" s="208">
        <f>$W$1</f>
        <v>2024</v>
      </c>
      <c r="C107" s="208"/>
      <c r="D107" s="267"/>
      <c r="E107" s="208" t="s">
        <v>566</v>
      </c>
      <c r="F107" s="208" t="s">
        <v>519</v>
      </c>
      <c r="G107" s="271">
        <v>48</v>
      </c>
      <c r="H107" s="208" t="s">
        <v>520</v>
      </c>
      <c r="I107" s="271"/>
      <c r="J107" s="208" t="s">
        <v>520</v>
      </c>
      <c r="K107" s="250"/>
      <c r="L107" s="208"/>
      <c r="M107" s="492"/>
      <c r="N107" s="527"/>
      <c r="O107" s="268"/>
      <c r="P107" s="269"/>
      <c r="Q107" s="382"/>
      <c r="R107" s="270">
        <f>SUM(S107,T107,U107,V107)</f>
        <v>0</v>
      </c>
      <c r="S107" s="270"/>
      <c r="T107" s="270"/>
      <c r="U107" s="270"/>
      <c r="V107" s="270"/>
    </row>
    <row r="108" spans="1:23" ht="16.2" outlineLevel="1" x14ac:dyDescent="0.35">
      <c r="A108" s="257" t="s">
        <v>570</v>
      </c>
      <c r="B108" s="258"/>
      <c r="C108" s="258"/>
      <c r="D108" s="258"/>
      <c r="E108" s="258"/>
      <c r="F108" s="259"/>
      <c r="G108" s="232"/>
      <c r="H108" s="260"/>
      <c r="I108" s="258"/>
      <c r="J108" s="232"/>
      <c r="K108" s="250"/>
      <c r="L108" s="258"/>
      <c r="M108" s="503"/>
      <c r="N108" s="531"/>
      <c r="O108" s="261">
        <v>244</v>
      </c>
      <c r="P108" s="262">
        <v>221</v>
      </c>
      <c r="Q108" s="382"/>
      <c r="R108" s="263">
        <f>SUM(R109:R110)</f>
        <v>0</v>
      </c>
      <c r="S108" s="263">
        <f>SUM(S109:S110)</f>
        <v>0</v>
      </c>
      <c r="T108" s="263">
        <f>SUM(T109:T110)</f>
        <v>0</v>
      </c>
      <c r="U108" s="263">
        <f>SUM(U109:U110)</f>
        <v>0</v>
      </c>
      <c r="V108" s="263">
        <f>SUM(V109:V110)</f>
        <v>0</v>
      </c>
    </row>
    <row r="109" spans="1:23" ht="15.6" outlineLevel="1" x14ac:dyDescent="0.3">
      <c r="A109" s="264" t="s">
        <v>560</v>
      </c>
      <c r="B109" s="208">
        <f>$W$2</f>
        <v>2023</v>
      </c>
      <c r="C109" s="208"/>
      <c r="D109" s="267"/>
      <c r="E109" s="208" t="s">
        <v>566</v>
      </c>
      <c r="F109" s="208" t="s">
        <v>519</v>
      </c>
      <c r="G109" s="271">
        <v>90</v>
      </c>
      <c r="H109" s="208" t="s">
        <v>520</v>
      </c>
      <c r="I109" s="208"/>
      <c r="J109" s="208"/>
      <c r="K109" s="250"/>
      <c r="L109" s="208"/>
      <c r="M109" s="492"/>
      <c r="N109" s="527"/>
      <c r="O109" s="268"/>
      <c r="P109" s="269"/>
      <c r="Q109" s="382">
        <v>1</v>
      </c>
      <c r="R109" s="270">
        <f>SUM(S109,T109,U109,V109)</f>
        <v>0</v>
      </c>
      <c r="S109" s="270"/>
      <c r="T109" s="270"/>
      <c r="U109" s="270"/>
      <c r="V109" s="270"/>
    </row>
    <row r="110" spans="1:23" ht="15.6" outlineLevel="1" x14ac:dyDescent="0.3">
      <c r="A110" s="264" t="s">
        <v>563</v>
      </c>
      <c r="B110" s="208">
        <f>$W$1</f>
        <v>2024</v>
      </c>
      <c r="C110" s="208"/>
      <c r="D110" s="267"/>
      <c r="E110" s="208" t="s">
        <v>566</v>
      </c>
      <c r="F110" s="208" t="s">
        <v>519</v>
      </c>
      <c r="G110" s="271">
        <v>90</v>
      </c>
      <c r="H110" s="208" t="s">
        <v>520</v>
      </c>
      <c r="I110" s="208"/>
      <c r="J110" s="208"/>
      <c r="K110" s="250"/>
      <c r="L110" s="208"/>
      <c r="M110" s="492"/>
      <c r="N110" s="527"/>
      <c r="O110" s="268"/>
      <c r="P110" s="269"/>
      <c r="Q110" s="382">
        <v>8</v>
      </c>
      <c r="R110" s="270">
        <f>SUM(S110,T110,U110,V110)</f>
        <v>0</v>
      </c>
      <c r="S110" s="270"/>
      <c r="T110" s="270"/>
      <c r="U110" s="270"/>
      <c r="V110" s="270"/>
    </row>
    <row r="111" spans="1:23" ht="16.2" outlineLevel="1" x14ac:dyDescent="0.35">
      <c r="A111" s="273" t="s">
        <v>691</v>
      </c>
      <c r="B111" s="258"/>
      <c r="C111" s="258"/>
      <c r="D111" s="258"/>
      <c r="E111" s="258"/>
      <c r="F111" s="259"/>
      <c r="G111" s="232"/>
      <c r="H111" s="260"/>
      <c r="I111" s="258"/>
      <c r="J111" s="232"/>
      <c r="K111" s="250"/>
      <c r="L111" s="258"/>
      <c r="M111" s="503"/>
      <c r="N111" s="531"/>
      <c r="O111" s="261">
        <v>244</v>
      </c>
      <c r="P111" s="262">
        <v>221</v>
      </c>
      <c r="Q111" s="382"/>
      <c r="R111" s="263">
        <f>SUM(R112:R113)</f>
        <v>0</v>
      </c>
      <c r="S111" s="263">
        <f>SUM(S112:S113)</f>
        <v>0</v>
      </c>
      <c r="T111" s="263">
        <f>SUM(T112:T113)</f>
        <v>0</v>
      </c>
      <c r="U111" s="263">
        <f>SUM(U112:U113)</f>
        <v>0</v>
      </c>
      <c r="V111" s="263">
        <f>SUM(V112:V113)</f>
        <v>0</v>
      </c>
    </row>
    <row r="112" spans="1:23" ht="15.6" outlineLevel="1" x14ac:dyDescent="0.3">
      <c r="A112" s="264" t="s">
        <v>560</v>
      </c>
      <c r="B112" s="208">
        <f>$W$2</f>
        <v>2023</v>
      </c>
      <c r="C112" s="208"/>
      <c r="D112" s="188"/>
      <c r="E112" s="208"/>
      <c r="F112" s="208"/>
      <c r="G112" s="271">
        <v>1430</v>
      </c>
      <c r="H112" s="208" t="s">
        <v>520</v>
      </c>
      <c r="I112" s="208"/>
      <c r="J112" s="208"/>
      <c r="K112" s="250"/>
      <c r="L112" s="208"/>
      <c r="M112" s="492"/>
      <c r="N112" s="527"/>
      <c r="O112" s="268"/>
      <c r="P112" s="269"/>
      <c r="Q112" s="382">
        <v>1</v>
      </c>
      <c r="R112" s="270">
        <f>SUM(S112,T112,U112,V112)</f>
        <v>0</v>
      </c>
      <c r="S112" s="270"/>
      <c r="T112" s="270"/>
      <c r="U112" s="270"/>
      <c r="V112" s="270"/>
    </row>
    <row r="113" spans="1:30" ht="15.6" outlineLevel="1" x14ac:dyDescent="0.3">
      <c r="A113" s="264" t="s">
        <v>563</v>
      </c>
      <c r="B113" s="208">
        <f>$W$1</f>
        <v>2024</v>
      </c>
      <c r="C113" s="208"/>
      <c r="D113" s="188"/>
      <c r="E113" s="208"/>
      <c r="F113" s="208"/>
      <c r="G113" s="271">
        <v>1430</v>
      </c>
      <c r="H113" s="208" t="s">
        <v>520</v>
      </c>
      <c r="I113" s="208"/>
      <c r="J113" s="208"/>
      <c r="K113" s="250"/>
      <c r="L113" s="208"/>
      <c r="M113" s="492"/>
      <c r="N113" s="527"/>
      <c r="O113" s="268"/>
      <c r="P113" s="269"/>
      <c r="Q113" s="382">
        <v>8</v>
      </c>
      <c r="R113" s="270">
        <f>SUM(S113,T113,U113,V113)</f>
        <v>0</v>
      </c>
      <c r="S113" s="270"/>
      <c r="T113" s="270"/>
      <c r="U113" s="270"/>
      <c r="V113" s="270"/>
    </row>
    <row r="114" spans="1:30" ht="16.2" outlineLevel="1" x14ac:dyDescent="0.35">
      <c r="A114" s="273" t="s">
        <v>806</v>
      </c>
      <c r="B114" s="258"/>
      <c r="C114" s="258"/>
      <c r="D114" s="258"/>
      <c r="E114" s="258"/>
      <c r="F114" s="259"/>
      <c r="G114" s="232"/>
      <c r="H114" s="260"/>
      <c r="I114" s="258"/>
      <c r="J114" s="232"/>
      <c r="K114" s="250"/>
      <c r="L114" s="258"/>
      <c r="M114" s="503"/>
      <c r="N114" s="531"/>
      <c r="O114" s="261">
        <v>244</v>
      </c>
      <c r="P114" s="262">
        <v>221</v>
      </c>
      <c r="Q114" s="382"/>
      <c r="R114" s="263">
        <f>SUM(R115:R116)</f>
        <v>0</v>
      </c>
      <c r="S114" s="263">
        <f>SUM(S115:S116)</f>
        <v>0</v>
      </c>
      <c r="T114" s="263">
        <f>SUM(T115:T116)</f>
        <v>0</v>
      </c>
      <c r="U114" s="263">
        <f>SUM(U115:U116)</f>
        <v>0</v>
      </c>
      <c r="V114" s="263">
        <f>SUM(V115:V116)</f>
        <v>0</v>
      </c>
    </row>
    <row r="115" spans="1:30" ht="15.6" outlineLevel="1" x14ac:dyDescent="0.3">
      <c r="A115" s="264" t="s">
        <v>560</v>
      </c>
      <c r="B115" s="208">
        <f>$W$2</f>
        <v>2023</v>
      </c>
      <c r="C115" s="208"/>
      <c r="D115" s="188"/>
      <c r="E115" s="208"/>
      <c r="F115" s="208"/>
      <c r="G115" s="271">
        <v>220.2</v>
      </c>
      <c r="H115" s="208" t="s">
        <v>520</v>
      </c>
      <c r="I115" s="271">
        <v>93.6</v>
      </c>
      <c r="J115" s="208" t="s">
        <v>520</v>
      </c>
      <c r="K115" s="250"/>
      <c r="L115" s="208"/>
      <c r="M115" s="492"/>
      <c r="N115" s="527"/>
      <c r="O115" s="268"/>
      <c r="P115" s="269"/>
      <c r="Q115" s="382">
        <v>1</v>
      </c>
      <c r="R115" s="270">
        <f>SUM(S115,T115,U115,V115)</f>
        <v>0</v>
      </c>
      <c r="S115" s="270"/>
      <c r="T115" s="270"/>
      <c r="U115" s="270"/>
      <c r="V115" s="270"/>
    </row>
    <row r="116" spans="1:30" ht="15.6" outlineLevel="1" x14ac:dyDescent="0.3">
      <c r="A116" s="264" t="s">
        <v>563</v>
      </c>
      <c r="B116" s="208">
        <f>$W$1</f>
        <v>2024</v>
      </c>
      <c r="C116" s="208"/>
      <c r="D116" s="188"/>
      <c r="E116" s="208"/>
      <c r="F116" s="208"/>
      <c r="G116" s="271">
        <v>160.15</v>
      </c>
      <c r="H116" s="208" t="s">
        <v>520</v>
      </c>
      <c r="I116" s="271">
        <v>93.6</v>
      </c>
      <c r="J116" s="208" t="s">
        <v>520</v>
      </c>
      <c r="K116" s="250"/>
      <c r="L116" s="208"/>
      <c r="M116" s="492"/>
      <c r="N116" s="527"/>
      <c r="O116" s="268"/>
      <c r="P116" s="269"/>
      <c r="Q116" s="382">
        <v>11</v>
      </c>
      <c r="R116" s="270">
        <f>SUM(S116,T116,U116,V116)</f>
        <v>0</v>
      </c>
      <c r="S116" s="270"/>
      <c r="T116" s="270"/>
      <c r="U116" s="270"/>
      <c r="V116" s="270"/>
    </row>
    <row r="117" spans="1:30" s="45" customFormat="1" ht="15.6" x14ac:dyDescent="0.3">
      <c r="A117" s="274" t="s">
        <v>571</v>
      </c>
      <c r="B117" s="182"/>
      <c r="C117" s="182"/>
      <c r="D117" s="182"/>
      <c r="E117" s="182"/>
      <c r="F117" s="182"/>
      <c r="G117" s="275"/>
      <c r="H117" s="182"/>
      <c r="I117" s="182"/>
      <c r="J117" s="182"/>
      <c r="K117" s="251"/>
      <c r="L117" s="182"/>
      <c r="M117" s="490"/>
      <c r="N117" s="532" t="s">
        <v>249</v>
      </c>
      <c r="O117" s="206">
        <v>244</v>
      </c>
      <c r="P117" s="205">
        <v>221</v>
      </c>
      <c r="Q117" s="383"/>
      <c r="R117" s="207">
        <f>SUM(R122,R118)</f>
        <v>0</v>
      </c>
      <c r="S117" s="207">
        <f>SUM(S122,S118)</f>
        <v>0</v>
      </c>
      <c r="T117" s="207">
        <f>SUM(T122,T118)</f>
        <v>0</v>
      </c>
      <c r="U117" s="207">
        <f>SUM(U122,U118)</f>
        <v>0</v>
      </c>
      <c r="V117" s="207">
        <f>SUM(V122,V118)</f>
        <v>0</v>
      </c>
      <c r="AC117" s="414"/>
      <c r="AD117" s="471"/>
    </row>
    <row r="118" spans="1:30" s="45" customFormat="1" ht="16.2" outlineLevel="1" x14ac:dyDescent="0.35">
      <c r="A118" s="579" t="s">
        <v>807</v>
      </c>
      <c r="B118" s="258"/>
      <c r="C118" s="272"/>
      <c r="D118" s="258"/>
      <c r="E118" s="258"/>
      <c r="F118" s="259"/>
      <c r="G118" s="232"/>
      <c r="H118" s="260"/>
      <c r="I118" s="258"/>
      <c r="J118" s="232"/>
      <c r="K118" s="251"/>
      <c r="L118" s="258"/>
      <c r="M118" s="503"/>
      <c r="N118" s="531"/>
      <c r="O118" s="261">
        <v>244</v>
      </c>
      <c r="P118" s="262">
        <v>221</v>
      </c>
      <c r="Q118" s="382"/>
      <c r="R118" s="263">
        <f>SUM(R119:R121)</f>
        <v>0</v>
      </c>
      <c r="S118" s="263">
        <f>SUM(S119:S121)</f>
        <v>0</v>
      </c>
      <c r="T118" s="263">
        <f>SUM(T119:T121)</f>
        <v>0</v>
      </c>
      <c r="U118" s="263">
        <f>SUM(U119:U121)</f>
        <v>0</v>
      </c>
      <c r="V118" s="263">
        <f>SUM(V119:V121)</f>
        <v>0</v>
      </c>
      <c r="AC118" s="414"/>
      <c r="AD118" s="471"/>
    </row>
    <row r="119" spans="1:30" s="279" customFormat="1" ht="15.6" outlineLevel="1" x14ac:dyDescent="0.3">
      <c r="A119" s="264" t="s">
        <v>560</v>
      </c>
      <c r="B119" s="208">
        <f>$W$2</f>
        <v>2023</v>
      </c>
      <c r="C119" s="277"/>
      <c r="D119" s="267"/>
      <c r="E119" s="208" t="s">
        <v>574</v>
      </c>
      <c r="F119" s="208"/>
      <c r="G119" s="271">
        <v>6474.97</v>
      </c>
      <c r="H119" s="208" t="s">
        <v>520</v>
      </c>
      <c r="I119" s="188"/>
      <c r="J119" s="208"/>
      <c r="K119" s="278"/>
      <c r="L119" s="208"/>
      <c r="M119" s="492"/>
      <c r="N119" s="527"/>
      <c r="O119" s="268"/>
      <c r="P119" s="269"/>
      <c r="Q119" s="382">
        <v>1</v>
      </c>
      <c r="R119" s="270">
        <f>SUM(S119,T119,U119,V119)</f>
        <v>0</v>
      </c>
      <c r="S119" s="270"/>
      <c r="T119" s="270"/>
      <c r="U119" s="270"/>
      <c r="V119" s="270"/>
      <c r="AC119" s="414"/>
      <c r="AD119" s="471"/>
    </row>
    <row r="120" spans="1:30" s="279" customFormat="1" ht="15.6" outlineLevel="1" x14ac:dyDescent="0.3">
      <c r="A120" s="264" t="s">
        <v>586</v>
      </c>
      <c r="B120" s="208">
        <f>$W$1</f>
        <v>2024</v>
      </c>
      <c r="C120" s="277"/>
      <c r="D120" s="267"/>
      <c r="E120" s="208" t="s">
        <v>574</v>
      </c>
      <c r="F120" s="208"/>
      <c r="G120" s="271">
        <v>6474.97</v>
      </c>
      <c r="H120" s="208" t="s">
        <v>520</v>
      </c>
      <c r="I120" s="208"/>
      <c r="J120" s="208"/>
      <c r="K120" s="278"/>
      <c r="L120" s="208"/>
      <c r="M120" s="492"/>
      <c r="N120" s="527"/>
      <c r="O120" s="268"/>
      <c r="P120" s="269"/>
      <c r="Q120" s="382">
        <v>6</v>
      </c>
      <c r="R120" s="270">
        <f>SUM(S120,T120,U120,V120)</f>
        <v>0</v>
      </c>
      <c r="S120" s="270"/>
      <c r="T120" s="270"/>
      <c r="U120" s="270"/>
      <c r="V120" s="270"/>
      <c r="AC120" s="414"/>
      <c r="AD120" s="471"/>
    </row>
    <row r="121" spans="1:30" s="279" customFormat="1" ht="15.6" outlineLevel="1" x14ac:dyDescent="0.3">
      <c r="A121" s="264" t="s">
        <v>692</v>
      </c>
      <c r="B121" s="208">
        <f>$W$1</f>
        <v>2024</v>
      </c>
      <c r="C121" s="277"/>
      <c r="D121" s="267"/>
      <c r="E121" s="208" t="s">
        <v>574</v>
      </c>
      <c r="F121" s="208"/>
      <c r="G121" s="271">
        <f>28033.28/4</f>
        <v>7008.32</v>
      </c>
      <c r="H121" s="208" t="s">
        <v>520</v>
      </c>
      <c r="I121" s="208"/>
      <c r="J121" s="208"/>
      <c r="K121" s="278"/>
      <c r="L121" s="208"/>
      <c r="M121" s="492"/>
      <c r="N121" s="527"/>
      <c r="O121" s="268"/>
      <c r="P121" s="269"/>
      <c r="Q121" s="382">
        <v>5</v>
      </c>
      <c r="R121" s="270">
        <f>SUM(S121,T121,U121,V121)</f>
        <v>0</v>
      </c>
      <c r="S121" s="270"/>
      <c r="T121" s="270"/>
      <c r="U121" s="270"/>
      <c r="V121" s="270"/>
      <c r="AC121" s="414"/>
      <c r="AD121" s="471"/>
    </row>
    <row r="122" spans="1:30" s="45" customFormat="1" ht="16.2" outlineLevel="1" x14ac:dyDescent="0.35">
      <c r="A122" s="276"/>
      <c r="B122" s="258"/>
      <c r="C122" s="272"/>
      <c r="D122" s="258"/>
      <c r="E122" s="258"/>
      <c r="F122" s="259"/>
      <c r="G122" s="232"/>
      <c r="H122" s="260"/>
      <c r="I122" s="258"/>
      <c r="J122" s="232"/>
      <c r="K122" s="251"/>
      <c r="L122" s="258"/>
      <c r="M122" s="503"/>
      <c r="N122" s="531"/>
      <c r="O122" s="261">
        <v>244</v>
      </c>
      <c r="P122" s="262">
        <v>221</v>
      </c>
      <c r="Q122" s="382"/>
      <c r="R122" s="263">
        <f>SUM(R123:R124)</f>
        <v>0</v>
      </c>
      <c r="S122" s="263">
        <f>SUM(S123:S124)</f>
        <v>0</v>
      </c>
      <c r="T122" s="263">
        <f>SUM(T123:T124)</f>
        <v>0</v>
      </c>
      <c r="U122" s="263">
        <f>SUM(U123:U124)</f>
        <v>0</v>
      </c>
      <c r="V122" s="263">
        <f>SUM(V123:V124)</f>
        <v>0</v>
      </c>
      <c r="AC122" s="414"/>
      <c r="AD122" s="471"/>
    </row>
    <row r="123" spans="1:30" s="279" customFormat="1" ht="15.6" outlineLevel="1" x14ac:dyDescent="0.3">
      <c r="A123" s="264" t="s">
        <v>560</v>
      </c>
      <c r="B123" s="208">
        <f>$W$2</f>
        <v>2023</v>
      </c>
      <c r="C123" s="277"/>
      <c r="D123" s="208"/>
      <c r="E123" s="208"/>
      <c r="F123" s="208"/>
      <c r="G123" s="271">
        <v>3400</v>
      </c>
      <c r="H123" s="208" t="s">
        <v>520</v>
      </c>
      <c r="I123" s="208"/>
      <c r="J123" s="208"/>
      <c r="K123" s="208"/>
      <c r="L123" s="208"/>
      <c r="M123" s="492"/>
      <c r="N123" s="527"/>
      <c r="O123" s="268"/>
      <c r="P123" s="269"/>
      <c r="Q123" s="382"/>
      <c r="R123" s="270">
        <f>SUM(S123,T123,U123,V123)</f>
        <v>0</v>
      </c>
      <c r="S123" s="270"/>
      <c r="T123" s="270"/>
      <c r="U123" s="270"/>
      <c r="V123" s="270"/>
      <c r="AC123" s="414"/>
      <c r="AD123" s="471"/>
    </row>
    <row r="124" spans="1:30" s="279" customFormat="1" ht="15.6" outlineLevel="1" x14ac:dyDescent="0.3">
      <c r="A124" s="264" t="s">
        <v>563</v>
      </c>
      <c r="B124" s="208">
        <f>$W$1</f>
        <v>2024</v>
      </c>
      <c r="C124" s="277"/>
      <c r="D124" s="208"/>
      <c r="E124" s="208"/>
      <c r="F124" s="208"/>
      <c r="G124" s="271">
        <v>3400</v>
      </c>
      <c r="H124" s="208" t="s">
        <v>520</v>
      </c>
      <c r="I124" s="208"/>
      <c r="J124" s="208"/>
      <c r="K124" s="208"/>
      <c r="L124" s="208"/>
      <c r="M124" s="492"/>
      <c r="N124" s="527"/>
      <c r="O124" s="268"/>
      <c r="P124" s="269"/>
      <c r="Q124" s="382"/>
      <c r="R124" s="270">
        <f>SUM(S124,T124,U124,V124)</f>
        <v>0</v>
      </c>
      <c r="S124" s="270"/>
      <c r="T124" s="270"/>
      <c r="U124" s="270"/>
      <c r="V124" s="270"/>
      <c r="AC124" s="414"/>
      <c r="AD124" s="471"/>
    </row>
    <row r="125" spans="1:30" s="45" customFormat="1" ht="16.2" x14ac:dyDescent="0.35">
      <c r="A125" s="274" t="s">
        <v>572</v>
      </c>
      <c r="B125" s="182"/>
      <c r="C125" s="182"/>
      <c r="D125" s="182"/>
      <c r="E125" s="182"/>
      <c r="F125" s="259"/>
      <c r="G125" s="232"/>
      <c r="H125" s="260"/>
      <c r="I125" s="258"/>
      <c r="J125" s="232"/>
      <c r="K125" s="251"/>
      <c r="L125" s="182"/>
      <c r="M125" s="490"/>
      <c r="N125" s="532"/>
      <c r="O125" s="206">
        <v>244</v>
      </c>
      <c r="P125" s="205">
        <v>221</v>
      </c>
      <c r="Q125" s="383"/>
      <c r="R125" s="207">
        <f>SUM(R126:R129,R130)</f>
        <v>0</v>
      </c>
      <c r="S125" s="207">
        <f>SUM(S126:S129,S130)</f>
        <v>0</v>
      </c>
      <c r="T125" s="207">
        <f>SUM(T126:T129,T130)</f>
        <v>0</v>
      </c>
      <c r="U125" s="207">
        <f>SUM(U126:U129,U130)</f>
        <v>0</v>
      </c>
      <c r="V125" s="207">
        <f>SUM(V126:V129,V130)</f>
        <v>0</v>
      </c>
      <c r="AC125" s="414"/>
      <c r="AD125" s="471"/>
    </row>
    <row r="126" spans="1:30" s="45" customFormat="1" ht="16.2" outlineLevel="1" x14ac:dyDescent="0.35">
      <c r="A126" s="257" t="s">
        <v>573</v>
      </c>
      <c r="B126" s="258"/>
      <c r="C126" s="272"/>
      <c r="D126" s="218"/>
      <c r="E126" s="217" t="s">
        <v>574</v>
      </c>
      <c r="F126" s="280" t="s">
        <v>519</v>
      </c>
      <c r="G126" s="218">
        <v>50</v>
      </c>
      <c r="H126" s="208" t="s">
        <v>520</v>
      </c>
      <c r="I126" s="251"/>
      <c r="J126" s="251"/>
      <c r="K126" s="251"/>
      <c r="L126" s="258"/>
      <c r="M126" s="503"/>
      <c r="N126" s="531"/>
      <c r="O126" s="261"/>
      <c r="P126" s="262"/>
      <c r="Q126" s="382"/>
      <c r="R126" s="270">
        <f>SUM(S126,T126,U126,V126)</f>
        <v>0</v>
      </c>
      <c r="S126" s="270"/>
      <c r="T126" s="270"/>
      <c r="U126" s="270"/>
      <c r="V126" s="270"/>
      <c r="W126" s="45" t="s">
        <v>575</v>
      </c>
      <c r="AC126" s="414"/>
      <c r="AD126" s="471"/>
    </row>
    <row r="127" spans="1:30" s="45" customFormat="1" ht="16.2" outlineLevel="1" x14ac:dyDescent="0.35">
      <c r="A127" s="257" t="s">
        <v>573</v>
      </c>
      <c r="B127" s="258"/>
      <c r="C127" s="272"/>
      <c r="D127" s="218"/>
      <c r="E127" s="217" t="s">
        <v>574</v>
      </c>
      <c r="F127" s="280" t="s">
        <v>519</v>
      </c>
      <c r="G127" s="218">
        <v>50</v>
      </c>
      <c r="H127" s="208" t="s">
        <v>520</v>
      </c>
      <c r="I127" s="251"/>
      <c r="J127" s="251"/>
      <c r="K127" s="251"/>
      <c r="L127" s="258"/>
      <c r="M127" s="503"/>
      <c r="N127" s="531"/>
      <c r="O127" s="261"/>
      <c r="P127" s="262"/>
      <c r="Q127" s="382"/>
      <c r="R127" s="270">
        <f>SUM(S127,T127,U127,V127)</f>
        <v>0</v>
      </c>
      <c r="S127" s="270"/>
      <c r="T127" s="270"/>
      <c r="U127" s="270"/>
      <c r="V127" s="270"/>
      <c r="W127" s="45" t="s">
        <v>575</v>
      </c>
      <c r="AC127" s="414"/>
      <c r="AD127" s="471"/>
    </row>
    <row r="128" spans="1:30" s="45" customFormat="1" ht="16.2" outlineLevel="1" x14ac:dyDescent="0.35">
      <c r="A128" s="257" t="s">
        <v>573</v>
      </c>
      <c r="B128" s="258"/>
      <c r="C128" s="272"/>
      <c r="D128" s="218"/>
      <c r="E128" s="217" t="s">
        <v>574</v>
      </c>
      <c r="F128" s="280" t="s">
        <v>519</v>
      </c>
      <c r="G128" s="218">
        <v>50</v>
      </c>
      <c r="H128" s="208" t="s">
        <v>520</v>
      </c>
      <c r="I128" s="251"/>
      <c r="J128" s="251"/>
      <c r="K128" s="251"/>
      <c r="L128" s="258"/>
      <c r="M128" s="503"/>
      <c r="N128" s="531"/>
      <c r="O128" s="261"/>
      <c r="P128" s="262"/>
      <c r="Q128" s="382"/>
      <c r="R128" s="270">
        <f>SUM(S128,T128,U128,V128)</f>
        <v>0</v>
      </c>
      <c r="S128" s="270"/>
      <c r="T128" s="270"/>
      <c r="U128" s="270"/>
      <c r="V128" s="270"/>
      <c r="W128" s="45" t="s">
        <v>575</v>
      </c>
      <c r="AC128" s="414"/>
      <c r="AD128" s="471"/>
    </row>
    <row r="129" spans="1:30" s="45" customFormat="1" ht="16.2" outlineLevel="1" x14ac:dyDescent="0.35">
      <c r="A129" s="257" t="s">
        <v>573</v>
      </c>
      <c r="B129" s="258"/>
      <c r="C129" s="272"/>
      <c r="D129" s="218"/>
      <c r="E129" s="217" t="s">
        <v>574</v>
      </c>
      <c r="F129" s="280" t="s">
        <v>519</v>
      </c>
      <c r="G129" s="218">
        <v>50</v>
      </c>
      <c r="H129" s="208" t="s">
        <v>520</v>
      </c>
      <c r="I129" s="251"/>
      <c r="J129" s="251"/>
      <c r="K129" s="251"/>
      <c r="L129" s="258"/>
      <c r="M129" s="503"/>
      <c r="N129" s="531"/>
      <c r="O129" s="261"/>
      <c r="P129" s="262"/>
      <c r="Q129" s="382"/>
      <c r="R129" s="270">
        <f>SUM(S129,T129,U129,V129)</f>
        <v>0</v>
      </c>
      <c r="S129" s="270"/>
      <c r="T129" s="270"/>
      <c r="U129" s="270"/>
      <c r="V129" s="270"/>
      <c r="W129" s="45" t="s">
        <v>575</v>
      </c>
      <c r="AC129" s="414"/>
      <c r="AD129" s="471"/>
    </row>
    <row r="130" spans="1:30" ht="16.2" outlineLevel="1" x14ac:dyDescent="0.35">
      <c r="A130" s="273" t="s">
        <v>576</v>
      </c>
      <c r="B130" s="258"/>
      <c r="C130" s="258"/>
      <c r="D130" s="258"/>
      <c r="E130" s="258"/>
      <c r="F130" s="259"/>
      <c r="G130" s="232"/>
      <c r="H130" s="260"/>
      <c r="I130" s="258"/>
      <c r="J130" s="232"/>
      <c r="K130" s="250"/>
      <c r="L130" s="258"/>
      <c r="M130" s="503"/>
      <c r="N130" s="531"/>
      <c r="O130" s="261">
        <v>244</v>
      </c>
      <c r="P130" s="262">
        <v>221</v>
      </c>
      <c r="Q130" s="382"/>
      <c r="R130" s="263">
        <f>SUM(R131:R132)</f>
        <v>0</v>
      </c>
      <c r="S130" s="263">
        <f>SUM(S131:S132)</f>
        <v>0</v>
      </c>
      <c r="T130" s="263">
        <f>SUM(T131:T132)</f>
        <v>0</v>
      </c>
      <c r="U130" s="263">
        <f>SUM(U131:U132)</f>
        <v>0</v>
      </c>
      <c r="V130" s="263">
        <f>SUM(V131:V132)</f>
        <v>0</v>
      </c>
    </row>
    <row r="131" spans="1:30" ht="15.6" outlineLevel="1" x14ac:dyDescent="0.3">
      <c r="A131" s="264" t="s">
        <v>560</v>
      </c>
      <c r="B131" s="208">
        <f>$W$2</f>
        <v>2023</v>
      </c>
      <c r="C131" s="208"/>
      <c r="D131" s="188"/>
      <c r="E131" s="208"/>
      <c r="F131" s="208"/>
      <c r="G131" s="271"/>
      <c r="H131" s="208" t="s">
        <v>520</v>
      </c>
      <c r="I131" s="208"/>
      <c r="J131" s="208"/>
      <c r="K131" s="250"/>
      <c r="L131" s="208"/>
      <c r="M131" s="492"/>
      <c r="N131" s="527"/>
      <c r="O131" s="268"/>
      <c r="P131" s="269"/>
      <c r="Q131" s="382"/>
      <c r="R131" s="270">
        <f>SUM(S131,T131,U131,V131)</f>
        <v>0</v>
      </c>
      <c r="S131" s="270"/>
      <c r="T131" s="270"/>
      <c r="U131" s="270"/>
      <c r="V131" s="270"/>
    </row>
    <row r="132" spans="1:30" ht="15.6" outlineLevel="1" x14ac:dyDescent="0.3">
      <c r="A132" s="264" t="s">
        <v>563</v>
      </c>
      <c r="B132" s="208">
        <f>$W$1</f>
        <v>2024</v>
      </c>
      <c r="C132" s="208"/>
      <c r="D132" s="188"/>
      <c r="E132" s="208"/>
      <c r="F132" s="208"/>
      <c r="G132" s="271"/>
      <c r="H132" s="208" t="s">
        <v>520</v>
      </c>
      <c r="I132" s="208"/>
      <c r="J132" s="208"/>
      <c r="K132" s="250"/>
      <c r="L132" s="208"/>
      <c r="M132" s="492"/>
      <c r="N132" s="527"/>
      <c r="O132" s="268"/>
      <c r="P132" s="269"/>
      <c r="Q132" s="382"/>
      <c r="R132" s="270">
        <f>SUM(S132,T132,U132,V132)</f>
        <v>0</v>
      </c>
      <c r="S132" s="270"/>
      <c r="T132" s="270"/>
      <c r="U132" s="270"/>
      <c r="V132" s="270"/>
    </row>
    <row r="133" spans="1:30" s="45" customFormat="1" ht="15.6" x14ac:dyDescent="0.3">
      <c r="A133" s="274" t="s">
        <v>523</v>
      </c>
      <c r="B133" s="182"/>
      <c r="C133" s="281"/>
      <c r="D133" s="182"/>
      <c r="E133" s="182"/>
      <c r="F133" s="182"/>
      <c r="G133" s="275"/>
      <c r="H133" s="182"/>
      <c r="I133" s="182"/>
      <c r="J133" s="182"/>
      <c r="K133" s="182"/>
      <c r="L133" s="182"/>
      <c r="M133" s="490"/>
      <c r="N133" s="532"/>
      <c r="O133" s="206">
        <v>244</v>
      </c>
      <c r="P133" s="205">
        <v>221</v>
      </c>
      <c r="Q133" s="383"/>
      <c r="R133" s="207">
        <f>SUM(S133,T133,U133,V133)</f>
        <v>0</v>
      </c>
      <c r="S133" s="207"/>
      <c r="T133" s="207"/>
      <c r="U133" s="207"/>
      <c r="V133" s="207"/>
      <c r="AC133" s="414"/>
      <c r="AD133" s="471"/>
    </row>
    <row r="134" spans="1:30" s="283" customFormat="1" ht="16.2" x14ac:dyDescent="0.35">
      <c r="A134" s="257" t="s">
        <v>723</v>
      </c>
      <c r="B134" s="258"/>
      <c r="C134" s="258"/>
      <c r="D134" s="258"/>
      <c r="E134" s="258"/>
      <c r="F134" s="259"/>
      <c r="G134" s="232"/>
      <c r="H134" s="260"/>
      <c r="I134" s="258"/>
      <c r="J134" s="232"/>
      <c r="K134" s="282"/>
      <c r="L134" s="258"/>
      <c r="M134" s="503"/>
      <c r="N134" s="531"/>
      <c r="O134" s="261">
        <v>244</v>
      </c>
      <c r="P134" s="262">
        <v>222</v>
      </c>
      <c r="Q134" s="382"/>
      <c r="R134" s="263">
        <f>SUM(R135:R136)</f>
        <v>0</v>
      </c>
      <c r="S134" s="263">
        <f>SUM(S135:S136)</f>
        <v>0</v>
      </c>
      <c r="T134" s="263">
        <f>SUM(T135:T136)</f>
        <v>0</v>
      </c>
      <c r="U134" s="263">
        <f>SUM(U135:U136)</f>
        <v>0</v>
      </c>
      <c r="V134" s="263">
        <f>SUM(V135:V136)</f>
        <v>0</v>
      </c>
      <c r="AC134" s="414"/>
      <c r="AD134" s="471"/>
    </row>
    <row r="135" spans="1:30" ht="15.6" outlineLevel="1" x14ac:dyDescent="0.3">
      <c r="A135" s="264"/>
      <c r="B135" s="188"/>
      <c r="C135" s="188"/>
      <c r="D135" s="210"/>
      <c r="E135" s="208" t="s">
        <v>724</v>
      </c>
      <c r="F135" s="208" t="s">
        <v>519</v>
      </c>
      <c r="G135" s="211">
        <v>25</v>
      </c>
      <c r="H135" s="208" t="s">
        <v>520</v>
      </c>
      <c r="I135" s="188"/>
      <c r="J135" s="188"/>
      <c r="K135" s="188"/>
      <c r="L135" s="188"/>
      <c r="M135" s="504"/>
      <c r="N135" s="533"/>
      <c r="O135" s="284"/>
      <c r="P135" s="285"/>
      <c r="Q135" s="383"/>
      <c r="R135" s="270">
        <f>SUM(S135,T135,U135,V135)</f>
        <v>0</v>
      </c>
      <c r="S135" s="270"/>
      <c r="T135" s="270"/>
      <c r="U135" s="270"/>
      <c r="V135" s="270"/>
    </row>
    <row r="136" spans="1:30" ht="15.6" outlineLevel="1" x14ac:dyDescent="0.3">
      <c r="A136" s="264"/>
      <c r="B136" s="188"/>
      <c r="C136" s="188"/>
      <c r="D136" s="210"/>
      <c r="E136" s="217" t="s">
        <v>574</v>
      </c>
      <c r="F136" s="208" t="s">
        <v>519</v>
      </c>
      <c r="G136" s="211">
        <v>25</v>
      </c>
      <c r="H136" s="208" t="s">
        <v>520</v>
      </c>
      <c r="I136" s="188"/>
      <c r="J136" s="188"/>
      <c r="K136" s="188"/>
      <c r="L136" s="188"/>
      <c r="M136" s="504"/>
      <c r="N136" s="533"/>
      <c r="O136" s="284"/>
      <c r="P136" s="285"/>
      <c r="Q136" s="383"/>
      <c r="R136" s="270">
        <f>SUM(S136,T136,U136,V136)</f>
        <v>0</v>
      </c>
      <c r="S136" s="270"/>
      <c r="T136" s="270"/>
      <c r="U136" s="270"/>
      <c r="V136" s="270"/>
    </row>
    <row r="137" spans="1:30" s="283" customFormat="1" ht="16.2" x14ac:dyDescent="0.35">
      <c r="A137" s="257" t="s">
        <v>840</v>
      </c>
      <c r="B137" s="258"/>
      <c r="C137" s="258"/>
      <c r="D137" s="258"/>
      <c r="E137" s="258"/>
      <c r="F137" s="259"/>
      <c r="G137" s="232"/>
      <c r="H137" s="260"/>
      <c r="I137" s="258"/>
      <c r="J137" s="232"/>
      <c r="K137" s="282"/>
      <c r="L137" s="258"/>
      <c r="M137" s="503"/>
      <c r="N137" s="531"/>
      <c r="O137" s="261">
        <v>244</v>
      </c>
      <c r="P137" s="262">
        <v>222</v>
      </c>
      <c r="Q137" s="382"/>
      <c r="R137" s="263">
        <f>SUM(R138:R139)</f>
        <v>0</v>
      </c>
      <c r="S137" s="263">
        <f>SUM(S138:S139)</f>
        <v>0</v>
      </c>
      <c r="T137" s="263">
        <f>SUM(T138:T139)</f>
        <v>0</v>
      </c>
      <c r="U137" s="263">
        <f>SUM(U138:U139)</f>
        <v>0</v>
      </c>
      <c r="V137" s="263">
        <f>SUM(V138:V139)</f>
        <v>0</v>
      </c>
      <c r="AC137" s="414"/>
      <c r="AD137" s="471"/>
    </row>
    <row r="138" spans="1:30" ht="15.6" outlineLevel="1" x14ac:dyDescent="0.3">
      <c r="A138" s="264"/>
      <c r="B138" s="188"/>
      <c r="C138" s="188"/>
      <c r="D138" s="210"/>
      <c r="E138" s="217" t="s">
        <v>574</v>
      </c>
      <c r="F138" s="208" t="s">
        <v>519</v>
      </c>
      <c r="G138" s="211">
        <v>500</v>
      </c>
      <c r="H138" s="208" t="s">
        <v>520</v>
      </c>
      <c r="I138" s="188"/>
      <c r="J138" s="188"/>
      <c r="K138" s="188"/>
      <c r="L138" s="188"/>
      <c r="M138" s="504"/>
      <c r="N138" s="533"/>
      <c r="O138" s="284"/>
      <c r="P138" s="285"/>
      <c r="Q138" s="383"/>
      <c r="R138" s="270">
        <f>SUM(S138,T138,U138,V138)</f>
        <v>0</v>
      </c>
      <c r="S138" s="270"/>
      <c r="T138" s="270"/>
      <c r="U138" s="270"/>
      <c r="V138" s="270"/>
    </row>
    <row r="139" spans="1:30" ht="15.6" outlineLevel="1" x14ac:dyDescent="0.3">
      <c r="A139" s="264"/>
      <c r="B139" s="188"/>
      <c r="C139" s="188"/>
      <c r="D139" s="210"/>
      <c r="E139" s="217" t="s">
        <v>574</v>
      </c>
      <c r="F139" s="208" t="s">
        <v>519</v>
      </c>
      <c r="G139" s="211"/>
      <c r="H139" s="208" t="s">
        <v>520</v>
      </c>
      <c r="I139" s="188"/>
      <c r="J139" s="188"/>
      <c r="K139" s="188"/>
      <c r="L139" s="188"/>
      <c r="M139" s="504"/>
      <c r="N139" s="533"/>
      <c r="O139" s="284"/>
      <c r="P139" s="285"/>
      <c r="Q139" s="383"/>
      <c r="R139" s="270">
        <f>SUM(S139,T139,U139,V139)</f>
        <v>0</v>
      </c>
      <c r="S139" s="270"/>
      <c r="T139" s="270"/>
      <c r="U139" s="270"/>
      <c r="V139" s="270"/>
    </row>
    <row r="140" spans="1:30" s="45" customFormat="1" ht="15.6" x14ac:dyDescent="0.3">
      <c r="A140" s="240" t="s">
        <v>579</v>
      </c>
      <c r="B140" s="241"/>
      <c r="C140" s="241"/>
      <c r="D140" s="241"/>
      <c r="E140" s="286"/>
      <c r="F140" s="182"/>
      <c r="G140" s="182"/>
      <c r="H140" s="182"/>
      <c r="I140" s="250"/>
      <c r="J140" s="287"/>
      <c r="K140" s="182"/>
      <c r="L140" s="286"/>
      <c r="M140" s="498"/>
      <c r="N140" s="518" t="s">
        <v>267</v>
      </c>
      <c r="O140" s="288" t="s">
        <v>259</v>
      </c>
      <c r="P140" s="289">
        <v>223</v>
      </c>
      <c r="Q140" s="435"/>
      <c r="R140" s="436">
        <f>SUM(R141,R153,R145,R149)</f>
        <v>0</v>
      </c>
      <c r="S140" s="436">
        <f>SUM(S141,S153,S145,S149)</f>
        <v>0</v>
      </c>
      <c r="T140" s="436">
        <f>SUM(T141,T153,T145,T149)</f>
        <v>0</v>
      </c>
      <c r="U140" s="436">
        <f>SUM(U141,U153,U145,U149)</f>
        <v>0</v>
      </c>
      <c r="V140" s="436">
        <f>SUM(V141,V153,V145,V149)</f>
        <v>0</v>
      </c>
      <c r="W140" s="49" t="s">
        <v>580</v>
      </c>
      <c r="AC140" s="414"/>
      <c r="AD140" s="471"/>
    </row>
    <row r="141" spans="1:30" s="45" customFormat="1" ht="16.2" outlineLevel="1" x14ac:dyDescent="0.35">
      <c r="A141" s="290" t="s">
        <v>539</v>
      </c>
      <c r="B141" s="291"/>
      <c r="C141" s="237"/>
      <c r="D141" s="238" t="s">
        <v>540</v>
      </c>
      <c r="E141" s="239"/>
      <c r="F141" s="259"/>
      <c r="G141" s="232"/>
      <c r="H141" s="260"/>
      <c r="I141" s="258"/>
      <c r="J141" s="232"/>
      <c r="K141" s="251"/>
      <c r="L141" s="286"/>
      <c r="M141" s="498"/>
      <c r="N141" s="518"/>
      <c r="O141" s="288" t="s">
        <v>259</v>
      </c>
      <c r="P141" s="289">
        <v>223</v>
      </c>
      <c r="Q141" s="390"/>
      <c r="R141" s="207">
        <f>SUM(R142:R144)</f>
        <v>0</v>
      </c>
      <c r="S141" s="207">
        <f>SUM(S142:S144)</f>
        <v>0</v>
      </c>
      <c r="T141" s="207">
        <f>SUM(T142:T144)</f>
        <v>0</v>
      </c>
      <c r="U141" s="207">
        <f>SUM(U142:U144)</f>
        <v>0</v>
      </c>
      <c r="V141" s="207">
        <f>SUM(V142:V144)</f>
        <v>0</v>
      </c>
      <c r="W141" s="49" t="s">
        <v>581</v>
      </c>
      <c r="AC141" s="414"/>
      <c r="AD141" s="471"/>
    </row>
    <row r="142" spans="1:30" ht="15.6" outlineLevel="1" x14ac:dyDescent="0.3">
      <c r="A142" s="264" t="s">
        <v>560</v>
      </c>
      <c r="B142" s="208">
        <f>$W$2</f>
        <v>2023</v>
      </c>
      <c r="C142" s="237"/>
      <c r="D142" s="237"/>
      <c r="E142" s="400"/>
      <c r="F142" s="280" t="s">
        <v>582</v>
      </c>
      <c r="G142" s="293" t="s">
        <v>713</v>
      </c>
      <c r="H142" s="208" t="s">
        <v>583</v>
      </c>
      <c r="I142" s="294"/>
      <c r="J142" s="238" t="s">
        <v>584</v>
      </c>
      <c r="K142" s="237">
        <v>11.92</v>
      </c>
      <c r="L142" s="208" t="s">
        <v>520</v>
      </c>
      <c r="M142" s="492"/>
      <c r="N142" s="527"/>
      <c r="O142" s="268"/>
      <c r="P142" s="269"/>
      <c r="Q142" s="382"/>
      <c r="R142" s="270">
        <f>SUM(S142,T142,U142,V142)</f>
        <v>0</v>
      </c>
      <c r="S142" s="270"/>
      <c r="T142" s="270"/>
      <c r="U142" s="270"/>
      <c r="V142" s="270"/>
      <c r="W142" s="49" t="s">
        <v>585</v>
      </c>
    </row>
    <row r="143" spans="1:30" ht="15.6" outlineLevel="1" x14ac:dyDescent="0.3">
      <c r="A143" s="264" t="s">
        <v>586</v>
      </c>
      <c r="B143" s="208">
        <f>$W$1</f>
        <v>2024</v>
      </c>
      <c r="C143" s="237"/>
      <c r="D143" s="237"/>
      <c r="E143" s="400"/>
      <c r="F143" s="280" t="s">
        <v>582</v>
      </c>
      <c r="G143" s="293" t="s">
        <v>713</v>
      </c>
      <c r="H143" s="208" t="s">
        <v>583</v>
      </c>
      <c r="I143" s="294"/>
      <c r="J143" s="238" t="s">
        <v>584</v>
      </c>
      <c r="K143" s="237">
        <v>11.92</v>
      </c>
      <c r="L143" s="208" t="s">
        <v>520</v>
      </c>
      <c r="M143" s="492"/>
      <c r="N143" s="527"/>
      <c r="O143" s="268"/>
      <c r="P143" s="269"/>
      <c r="Q143" s="382"/>
      <c r="R143" s="270">
        <f>SUM(S143,T143,U143,V143)</f>
        <v>0</v>
      </c>
      <c r="S143" s="270"/>
      <c r="T143" s="270"/>
      <c r="U143" s="270"/>
      <c r="V143" s="270"/>
      <c r="W143" s="49" t="s">
        <v>587</v>
      </c>
    </row>
    <row r="144" spans="1:30" ht="15.6" outlineLevel="1" x14ac:dyDescent="0.3">
      <c r="A144" s="264" t="s">
        <v>588</v>
      </c>
      <c r="B144" s="208">
        <f>$W$1</f>
        <v>2024</v>
      </c>
      <c r="C144" s="237"/>
      <c r="D144" s="237"/>
      <c r="E144" s="400"/>
      <c r="F144" s="280" t="s">
        <v>582</v>
      </c>
      <c r="G144" s="293" t="s">
        <v>770</v>
      </c>
      <c r="H144" s="208" t="s">
        <v>583</v>
      </c>
      <c r="I144" s="294"/>
      <c r="J144" s="238" t="s">
        <v>584</v>
      </c>
      <c r="K144" s="237">
        <v>12.55</v>
      </c>
      <c r="L144" s="208" t="s">
        <v>520</v>
      </c>
      <c r="M144" s="492"/>
      <c r="N144" s="527"/>
      <c r="O144" s="268"/>
      <c r="P144" s="269"/>
      <c r="Q144" s="382"/>
      <c r="R144" s="270">
        <f>SUM(S144,T144,U144,V144)</f>
        <v>0</v>
      </c>
      <c r="S144" s="270"/>
      <c r="T144" s="270"/>
      <c r="U144" s="270"/>
      <c r="V144" s="270"/>
      <c r="W144" s="49" t="s">
        <v>589</v>
      </c>
    </row>
    <row r="145" spans="1:30" ht="16.2" outlineLevel="1" x14ac:dyDescent="0.35">
      <c r="A145" s="290" t="s">
        <v>709</v>
      </c>
      <c r="B145" s="291"/>
      <c r="C145" s="237"/>
      <c r="D145" s="238" t="s">
        <v>540</v>
      </c>
      <c r="E145" s="404"/>
      <c r="F145" s="259"/>
      <c r="G145" s="232"/>
      <c r="H145" s="260"/>
      <c r="I145" s="258"/>
      <c r="J145" s="232"/>
      <c r="K145" s="250"/>
      <c r="L145" s="208"/>
      <c r="M145" s="492"/>
      <c r="N145" s="527"/>
      <c r="O145" s="206">
        <v>244</v>
      </c>
      <c r="P145" s="205">
        <v>223</v>
      </c>
      <c r="Q145" s="383"/>
      <c r="R145" s="207">
        <f>SUM(R146:R148)</f>
        <v>0</v>
      </c>
      <c r="S145" s="207">
        <f>SUM(S146:S148)</f>
        <v>0</v>
      </c>
      <c r="T145" s="207">
        <f>SUM(T146:T148)</f>
        <v>0</v>
      </c>
      <c r="U145" s="207">
        <f>SUM(U146:U148)</f>
        <v>0</v>
      </c>
      <c r="V145" s="207">
        <f>SUM(V146:V148)</f>
        <v>0</v>
      </c>
    </row>
    <row r="146" spans="1:30" ht="15.6" outlineLevel="1" x14ac:dyDescent="0.3">
      <c r="A146" s="264" t="s">
        <v>560</v>
      </c>
      <c r="B146" s="208">
        <f>$W$2</f>
        <v>2023</v>
      </c>
      <c r="C146" s="237"/>
      <c r="D146" s="237"/>
      <c r="E146" s="315"/>
      <c r="F146" s="280" t="s">
        <v>582</v>
      </c>
      <c r="G146" s="293" t="s">
        <v>771</v>
      </c>
      <c r="H146" s="208" t="s">
        <v>583</v>
      </c>
      <c r="I146" s="402"/>
      <c r="J146" s="238" t="s">
        <v>584</v>
      </c>
      <c r="K146" s="237">
        <v>11.92</v>
      </c>
      <c r="L146" s="208" t="s">
        <v>520</v>
      </c>
      <c r="M146" s="492"/>
      <c r="N146" s="527"/>
      <c r="O146" s="268"/>
      <c r="P146" s="269"/>
      <c r="Q146" s="382"/>
      <c r="R146" s="270">
        <f>SUM(S146,T146,U146,V146)</f>
        <v>0</v>
      </c>
      <c r="S146" s="270"/>
      <c r="T146" s="270"/>
      <c r="U146" s="270"/>
      <c r="V146" s="270"/>
      <c r="X146" s="56"/>
      <c r="Y146" s="56"/>
    </row>
    <row r="147" spans="1:30" ht="15.6" outlineLevel="1" x14ac:dyDescent="0.3">
      <c r="A147" s="264" t="s">
        <v>586</v>
      </c>
      <c r="B147" s="208">
        <f>$W$1</f>
        <v>2024</v>
      </c>
      <c r="C147" s="237"/>
      <c r="D147" s="237"/>
      <c r="E147" s="315"/>
      <c r="F147" s="280" t="s">
        <v>582</v>
      </c>
      <c r="G147" s="293" t="s">
        <v>771</v>
      </c>
      <c r="H147" s="208" t="s">
        <v>583</v>
      </c>
      <c r="I147" s="402"/>
      <c r="J147" s="238" t="s">
        <v>584</v>
      </c>
      <c r="K147" s="237">
        <v>11.92</v>
      </c>
      <c r="L147" s="208" t="s">
        <v>520</v>
      </c>
      <c r="M147" s="492"/>
      <c r="N147" s="527"/>
      <c r="O147" s="268"/>
      <c r="P147" s="269"/>
      <c r="Q147" s="382"/>
      <c r="R147" s="270">
        <f>SUM(S147,T147,U147,V147)</f>
        <v>0</v>
      </c>
      <c r="S147" s="270"/>
      <c r="T147" s="270"/>
      <c r="U147" s="270"/>
      <c r="V147" s="270"/>
      <c r="X147" s="56"/>
      <c r="Y147" s="56"/>
    </row>
    <row r="148" spans="1:30" ht="15.6" outlineLevel="1" x14ac:dyDescent="0.3">
      <c r="A148" s="264" t="s">
        <v>588</v>
      </c>
      <c r="B148" s="208">
        <f>$W$1</f>
        <v>2024</v>
      </c>
      <c r="C148" s="237"/>
      <c r="D148" s="237"/>
      <c r="E148" s="292"/>
      <c r="F148" s="280" t="s">
        <v>582</v>
      </c>
      <c r="G148" s="293" t="s">
        <v>770</v>
      </c>
      <c r="H148" s="208" t="s">
        <v>583</v>
      </c>
      <c r="I148" s="402"/>
      <c r="J148" s="238" t="s">
        <v>584</v>
      </c>
      <c r="K148" s="237">
        <v>12.55</v>
      </c>
      <c r="L148" s="208" t="s">
        <v>520</v>
      </c>
      <c r="M148" s="492"/>
      <c r="N148" s="527"/>
      <c r="O148" s="268"/>
      <c r="P148" s="269"/>
      <c r="Q148" s="382"/>
      <c r="R148" s="270">
        <f>SUM(S148,T148,U148,V148)</f>
        <v>0</v>
      </c>
      <c r="S148" s="270"/>
      <c r="T148" s="270"/>
      <c r="U148" s="270"/>
      <c r="V148" s="270"/>
      <c r="X148" s="56"/>
      <c r="Y148" s="56"/>
      <c r="AA148" s="403"/>
    </row>
    <row r="149" spans="1:30" ht="16.2" outlineLevel="1" x14ac:dyDescent="0.35">
      <c r="A149" s="290" t="s">
        <v>539</v>
      </c>
      <c r="B149" s="291"/>
      <c r="C149" s="237"/>
      <c r="D149" s="238" t="s">
        <v>540</v>
      </c>
      <c r="E149" s="404"/>
      <c r="F149" s="259"/>
      <c r="G149" s="232"/>
      <c r="H149" s="260"/>
      <c r="I149" s="258"/>
      <c r="J149" s="232"/>
      <c r="K149" s="250"/>
      <c r="L149" s="208"/>
      <c r="M149" s="492"/>
      <c r="N149" s="527"/>
      <c r="O149" s="206">
        <v>244</v>
      </c>
      <c r="P149" s="205">
        <v>223</v>
      </c>
      <c r="Q149" s="383"/>
      <c r="R149" s="207">
        <f>SUM(R150:R152)</f>
        <v>0</v>
      </c>
      <c r="S149" s="207">
        <f>SUM(S150:S152)</f>
        <v>0</v>
      </c>
      <c r="T149" s="207">
        <f>SUM(T150:T152)</f>
        <v>0</v>
      </c>
      <c r="U149" s="207">
        <f>SUM(U150:U152)</f>
        <v>0</v>
      </c>
      <c r="V149" s="207">
        <f>SUM(V150:V152)</f>
        <v>0</v>
      </c>
    </row>
    <row r="150" spans="1:30" ht="15.6" outlineLevel="1" x14ac:dyDescent="0.3">
      <c r="A150" s="264" t="s">
        <v>560</v>
      </c>
      <c r="B150" s="208">
        <f>$W$2</f>
        <v>2023</v>
      </c>
      <c r="C150" s="237"/>
      <c r="D150" s="237"/>
      <c r="E150" s="568"/>
      <c r="F150" s="280" t="s">
        <v>582</v>
      </c>
      <c r="G150" s="218" t="s">
        <v>717</v>
      </c>
      <c r="H150" s="208" t="s">
        <v>583</v>
      </c>
      <c r="I150" s="402"/>
      <c r="J150" s="238" t="s">
        <v>584</v>
      </c>
      <c r="K150" s="237">
        <v>88.3</v>
      </c>
      <c r="L150" s="208" t="s">
        <v>520</v>
      </c>
      <c r="M150" s="492"/>
      <c r="N150" s="527"/>
      <c r="O150" s="268"/>
      <c r="P150" s="269"/>
      <c r="Q150" s="382"/>
      <c r="R150" s="270">
        <f>SUM(S150,T150,U150,V150)</f>
        <v>0</v>
      </c>
      <c r="S150" s="270"/>
      <c r="T150" s="270"/>
      <c r="U150" s="270"/>
      <c r="V150" s="270"/>
      <c r="X150" s="56"/>
      <c r="Y150" s="56"/>
    </row>
    <row r="151" spans="1:30" ht="15.6" outlineLevel="1" x14ac:dyDescent="0.3">
      <c r="A151" s="264" t="s">
        <v>586</v>
      </c>
      <c r="B151" s="208">
        <f>$W$1</f>
        <v>2024</v>
      </c>
      <c r="C151" s="237"/>
      <c r="D151" s="237"/>
      <c r="E151" s="568"/>
      <c r="F151" s="280" t="s">
        <v>582</v>
      </c>
      <c r="G151" s="218" t="s">
        <v>717</v>
      </c>
      <c r="H151" s="208" t="s">
        <v>583</v>
      </c>
      <c r="I151" s="402"/>
      <c r="J151" s="238" t="s">
        <v>584</v>
      </c>
      <c r="K151" s="237">
        <v>88.3</v>
      </c>
      <c r="L151" s="208" t="s">
        <v>520</v>
      </c>
      <c r="M151" s="492"/>
      <c r="N151" s="527"/>
      <c r="O151" s="268"/>
      <c r="P151" s="269"/>
      <c r="Q151" s="382"/>
      <c r="R151" s="270">
        <f>SUM(S151,T151,U151,V151)</f>
        <v>0</v>
      </c>
      <c r="S151" s="270"/>
      <c r="T151" s="270"/>
      <c r="U151" s="270"/>
      <c r="V151" s="270"/>
      <c r="X151" s="56"/>
      <c r="Y151" s="56"/>
    </row>
    <row r="152" spans="1:30" ht="15.6" outlineLevel="1" x14ac:dyDescent="0.3">
      <c r="A152" s="264" t="s">
        <v>588</v>
      </c>
      <c r="B152" s="208">
        <f>$W$1</f>
        <v>2024</v>
      </c>
      <c r="C152" s="237"/>
      <c r="D152" s="237"/>
      <c r="E152" s="568"/>
      <c r="F152" s="280" t="s">
        <v>582</v>
      </c>
      <c r="G152" s="569">
        <v>2916.38</v>
      </c>
      <c r="H152" s="208" t="s">
        <v>583</v>
      </c>
      <c r="I152" s="402"/>
      <c r="J152" s="238" t="s">
        <v>584</v>
      </c>
      <c r="K152" s="237">
        <v>93.59</v>
      </c>
      <c r="L152" s="208" t="s">
        <v>520</v>
      </c>
      <c r="M152" s="492"/>
      <c r="N152" s="527"/>
      <c r="O152" s="268"/>
      <c r="P152" s="269"/>
      <c r="Q152" s="382"/>
      <c r="R152" s="270">
        <f>SUM(S152,T152,U152,V152)</f>
        <v>0</v>
      </c>
      <c r="S152" s="270"/>
      <c r="T152" s="270"/>
      <c r="U152" s="270"/>
      <c r="V152" s="270"/>
      <c r="X152" s="56"/>
      <c r="Y152" s="56"/>
      <c r="AA152" s="56"/>
    </row>
    <row r="153" spans="1:30" ht="16.2" outlineLevel="1" x14ac:dyDescent="0.35">
      <c r="A153" s="290" t="s">
        <v>709</v>
      </c>
      <c r="B153" s="291"/>
      <c r="C153" s="237"/>
      <c r="D153" s="238" t="s">
        <v>540</v>
      </c>
      <c r="E153" s="239"/>
      <c r="F153" s="259"/>
      <c r="G153" s="232"/>
      <c r="H153" s="260"/>
      <c r="I153" s="258"/>
      <c r="J153" s="232"/>
      <c r="K153" s="250"/>
      <c r="L153" s="208"/>
      <c r="M153" s="492"/>
      <c r="N153" s="527"/>
      <c r="O153" s="206">
        <v>244</v>
      </c>
      <c r="P153" s="205">
        <v>223</v>
      </c>
      <c r="Q153" s="383"/>
      <c r="R153" s="207">
        <f>SUM(R154:R156)</f>
        <v>0</v>
      </c>
      <c r="S153" s="207">
        <f>SUM(S154:S156)</f>
        <v>0</v>
      </c>
      <c r="T153" s="207">
        <f>SUM(T154:T156)</f>
        <v>0</v>
      </c>
      <c r="U153" s="207">
        <f>SUM(U154:U156)</f>
        <v>0</v>
      </c>
      <c r="V153" s="207">
        <f>SUM(V154:V156)</f>
        <v>0</v>
      </c>
    </row>
    <row r="154" spans="1:30" ht="15.6" outlineLevel="1" x14ac:dyDescent="0.3">
      <c r="A154" s="264" t="s">
        <v>560</v>
      </c>
      <c r="B154" s="208">
        <f>$W$2</f>
        <v>2023</v>
      </c>
      <c r="C154" s="237"/>
      <c r="D154" s="237"/>
      <c r="E154" s="315"/>
      <c r="F154" s="280" t="s">
        <v>582</v>
      </c>
      <c r="G154" s="293" t="s">
        <v>713</v>
      </c>
      <c r="H154" s="208" t="s">
        <v>583</v>
      </c>
      <c r="I154" s="402"/>
      <c r="J154" s="238" t="s">
        <v>584</v>
      </c>
      <c r="K154" s="237">
        <v>11.92</v>
      </c>
      <c r="L154" s="208" t="s">
        <v>520</v>
      </c>
      <c r="M154" s="492"/>
      <c r="N154" s="527"/>
      <c r="O154" s="268"/>
      <c r="P154" s="269"/>
      <c r="Q154" s="382"/>
      <c r="R154" s="270">
        <f>SUM(S154,T154,U154,V154)</f>
        <v>0</v>
      </c>
      <c r="S154" s="270"/>
      <c r="T154" s="270"/>
      <c r="U154" s="270"/>
      <c r="V154" s="270"/>
      <c r="X154" s="56"/>
      <c r="Y154" s="56"/>
    </row>
    <row r="155" spans="1:30" ht="15.6" outlineLevel="1" x14ac:dyDescent="0.3">
      <c r="A155" s="264" t="s">
        <v>586</v>
      </c>
      <c r="B155" s="208">
        <f>$W$1</f>
        <v>2024</v>
      </c>
      <c r="C155" s="237"/>
      <c r="D155" s="401"/>
      <c r="E155" s="315"/>
      <c r="F155" s="280" t="s">
        <v>582</v>
      </c>
      <c r="G155" s="293" t="s">
        <v>713</v>
      </c>
      <c r="H155" s="208" t="s">
        <v>583</v>
      </c>
      <c r="I155" s="402"/>
      <c r="J155" s="238" t="s">
        <v>584</v>
      </c>
      <c r="K155" s="237">
        <v>11.92</v>
      </c>
      <c r="L155" s="208" t="s">
        <v>520</v>
      </c>
      <c r="M155" s="492"/>
      <c r="N155" s="527"/>
      <c r="O155" s="268"/>
      <c r="P155" s="269"/>
      <c r="Q155" s="382"/>
      <c r="R155" s="270">
        <f>SUM(S155,T155,U155,V155)</f>
        <v>0</v>
      </c>
      <c r="S155" s="270"/>
      <c r="T155" s="270"/>
      <c r="U155" s="270"/>
      <c r="V155" s="270"/>
      <c r="X155" s="56"/>
      <c r="Y155" s="56"/>
    </row>
    <row r="156" spans="1:30" ht="15.6" outlineLevel="1" x14ac:dyDescent="0.3">
      <c r="A156" s="264" t="s">
        <v>588</v>
      </c>
      <c r="B156" s="208">
        <f>$W$1</f>
        <v>2024</v>
      </c>
      <c r="C156" s="237"/>
      <c r="D156" s="402"/>
      <c r="E156" s="400"/>
      <c r="F156" s="280" t="s">
        <v>582</v>
      </c>
      <c r="G156" s="293" t="s">
        <v>770</v>
      </c>
      <c r="H156" s="208" t="s">
        <v>583</v>
      </c>
      <c r="I156" s="402"/>
      <c r="J156" s="238" t="s">
        <v>584</v>
      </c>
      <c r="K156" s="237">
        <v>12.55</v>
      </c>
      <c r="L156" s="208" t="s">
        <v>520</v>
      </c>
      <c r="M156" s="492"/>
      <c r="N156" s="527"/>
      <c r="O156" s="268"/>
      <c r="P156" s="269"/>
      <c r="Q156" s="382"/>
      <c r="R156" s="270">
        <f>SUM(S156,T156,U156,V156)</f>
        <v>0</v>
      </c>
      <c r="S156" s="270"/>
      <c r="T156" s="270"/>
      <c r="U156" s="270"/>
      <c r="V156" s="270"/>
      <c r="X156" s="56"/>
      <c r="Y156" s="56"/>
      <c r="AA156" s="403"/>
    </row>
    <row r="157" spans="1:30" s="45" customFormat="1" ht="15.6" x14ac:dyDescent="0.3">
      <c r="A157" s="240" t="s">
        <v>592</v>
      </c>
      <c r="B157" s="241"/>
      <c r="C157" s="241"/>
      <c r="D157" s="241"/>
      <c r="E157" s="286"/>
      <c r="F157" s="286"/>
      <c r="G157" s="286"/>
      <c r="H157" s="241"/>
      <c r="I157" s="301"/>
      <c r="J157" s="241"/>
      <c r="K157" s="251"/>
      <c r="L157" s="241"/>
      <c r="M157" s="499"/>
      <c r="N157" s="518" t="s">
        <v>267</v>
      </c>
      <c r="O157" s="296">
        <v>244</v>
      </c>
      <c r="P157" s="297">
        <v>223</v>
      </c>
      <c r="Q157" s="384"/>
      <c r="R157" s="207">
        <f>SUM(R179,R158,R200)</f>
        <v>0</v>
      </c>
      <c r="S157" s="207">
        <f>SUM(S179,S158,S200)</f>
        <v>0</v>
      </c>
      <c r="T157" s="207">
        <f>SUM(T179,T158,T200)</f>
        <v>0</v>
      </c>
      <c r="U157" s="207">
        <f>SUM(U179,U158,U200)</f>
        <v>0</v>
      </c>
      <c r="V157" s="207">
        <f>SUM(V179,V158,V200)</f>
        <v>0</v>
      </c>
      <c r="AC157" s="414"/>
      <c r="AD157" s="471"/>
    </row>
    <row r="158" spans="1:30" ht="16.2" x14ac:dyDescent="0.35">
      <c r="A158" s="231" t="s">
        <v>593</v>
      </c>
      <c r="B158" s="217"/>
      <c r="C158" s="217"/>
      <c r="D158" s="217"/>
      <c r="E158" s="217"/>
      <c r="F158" s="258"/>
      <c r="G158" s="258"/>
      <c r="H158" s="258"/>
      <c r="I158" s="260"/>
      <c r="J158" s="258"/>
      <c r="K158" s="250"/>
      <c r="L158" s="208"/>
      <c r="M158" s="492"/>
      <c r="N158" s="527"/>
      <c r="O158" s="268">
        <v>244</v>
      </c>
      <c r="P158" s="269">
        <v>223</v>
      </c>
      <c r="Q158" s="382"/>
      <c r="R158" s="263">
        <f>SUM(R159,R164,R169,R174)</f>
        <v>0</v>
      </c>
      <c r="S158" s="263">
        <f>SUM(S159,S164,S169,S174)</f>
        <v>0</v>
      </c>
      <c r="T158" s="263">
        <f>SUM(T159,T164,T169,T174)</f>
        <v>0</v>
      </c>
      <c r="U158" s="263">
        <f>SUM(U159,U164,U169,U174)</f>
        <v>0</v>
      </c>
      <c r="V158" s="263">
        <f>SUM(V159,V164,V169,V174)</f>
        <v>0</v>
      </c>
    </row>
    <row r="159" spans="1:30" s="45" customFormat="1" ht="16.2" outlineLevel="1" x14ac:dyDescent="0.35">
      <c r="A159" s="290" t="s">
        <v>539</v>
      </c>
      <c r="B159" s="291"/>
      <c r="C159" s="237"/>
      <c r="D159" s="238" t="s">
        <v>540</v>
      </c>
      <c r="E159" s="239"/>
      <c r="F159" s="259"/>
      <c r="G159" s="232"/>
      <c r="H159" s="260"/>
      <c r="I159" s="258"/>
      <c r="J159" s="232"/>
      <c r="K159" s="251"/>
      <c r="L159" s="286"/>
      <c r="M159" s="498"/>
      <c r="N159" s="518"/>
      <c r="O159" s="288">
        <v>244</v>
      </c>
      <c r="P159" s="289">
        <v>223</v>
      </c>
      <c r="Q159" s="390"/>
      <c r="R159" s="207">
        <f>SUM(R160:R163)</f>
        <v>0</v>
      </c>
      <c r="S159" s="207">
        <f>SUM(S160:S163)</f>
        <v>0</v>
      </c>
      <c r="T159" s="207">
        <f>SUM(T160:T163)</f>
        <v>0</v>
      </c>
      <c r="U159" s="207">
        <f>SUM(U160:U163)</f>
        <v>0</v>
      </c>
      <c r="V159" s="207">
        <f>SUM(V160:V163)</f>
        <v>0</v>
      </c>
      <c r="AC159" s="414"/>
      <c r="AD159" s="471"/>
    </row>
    <row r="160" spans="1:30" ht="15.6" outlineLevel="1" x14ac:dyDescent="0.3">
      <c r="A160" s="264" t="s">
        <v>560</v>
      </c>
      <c r="B160" s="208">
        <f>$W$2</f>
        <v>2023</v>
      </c>
      <c r="C160" s="237"/>
      <c r="D160" s="292"/>
      <c r="E160" s="280" t="s">
        <v>594</v>
      </c>
      <c r="F160" s="280" t="s">
        <v>519</v>
      </c>
      <c r="G160" s="293" t="s">
        <v>849</v>
      </c>
      <c r="H160" s="208" t="s">
        <v>520</v>
      </c>
      <c r="I160" s="298"/>
      <c r="J160" s="238"/>
      <c r="K160" s="250"/>
      <c r="L160" s="238"/>
      <c r="M160" s="500"/>
      <c r="N160" s="528"/>
      <c r="O160" s="299"/>
      <c r="P160" s="300"/>
      <c r="Q160" s="384"/>
      <c r="R160" s="270">
        <f>SUM(S160,T160,U160,V160)</f>
        <v>0</v>
      </c>
      <c r="S160" s="270"/>
      <c r="T160" s="270"/>
      <c r="U160" s="270"/>
      <c r="V160" s="270"/>
    </row>
    <row r="161" spans="1:30" ht="15.6" outlineLevel="1" x14ac:dyDescent="0.3">
      <c r="A161" s="264" t="s">
        <v>586</v>
      </c>
      <c r="B161" s="208">
        <f>$W$1</f>
        <v>2024</v>
      </c>
      <c r="C161" s="237"/>
      <c r="D161" s="315"/>
      <c r="E161" s="280" t="s">
        <v>594</v>
      </c>
      <c r="F161" s="280" t="s">
        <v>519</v>
      </c>
      <c r="G161" s="293" t="s">
        <v>849</v>
      </c>
      <c r="H161" s="208" t="s">
        <v>520</v>
      </c>
      <c r="I161" s="298"/>
      <c r="J161" s="238"/>
      <c r="K161" s="250"/>
      <c r="L161" s="238"/>
      <c r="M161" s="500"/>
      <c r="N161" s="528"/>
      <c r="O161" s="299"/>
      <c r="P161" s="300"/>
      <c r="Q161" s="384"/>
      <c r="R161" s="270">
        <f>SUM(S161,T161,U161,V161)</f>
        <v>0</v>
      </c>
      <c r="S161" s="270"/>
      <c r="T161" s="270"/>
      <c r="U161" s="270"/>
      <c r="V161" s="270"/>
    </row>
    <row r="162" spans="1:30" ht="15.6" outlineLevel="1" x14ac:dyDescent="0.3">
      <c r="A162" s="264" t="s">
        <v>588</v>
      </c>
      <c r="B162" s="208">
        <f>$W$1</f>
        <v>2024</v>
      </c>
      <c r="C162" s="237"/>
      <c r="D162" s="218"/>
      <c r="E162" s="280" t="s">
        <v>594</v>
      </c>
      <c r="F162" s="280" t="s">
        <v>519</v>
      </c>
      <c r="G162" s="293" t="s">
        <v>849</v>
      </c>
      <c r="H162" s="208" t="s">
        <v>520</v>
      </c>
      <c r="I162" s="298"/>
      <c r="J162" s="238"/>
      <c r="K162" s="250"/>
      <c r="L162" s="238"/>
      <c r="M162" s="500"/>
      <c r="N162" s="528"/>
      <c r="O162" s="299"/>
      <c r="P162" s="300"/>
      <c r="Q162" s="384"/>
      <c r="R162" s="270">
        <f>SUM(S162,T162,U162,V162)</f>
        <v>0</v>
      </c>
      <c r="S162" s="270"/>
      <c r="T162" s="270"/>
      <c r="U162" s="270"/>
      <c r="V162" s="270"/>
    </row>
    <row r="163" spans="1:30" ht="15.6" outlineLevel="1" x14ac:dyDescent="0.3">
      <c r="A163" s="264" t="s">
        <v>560</v>
      </c>
      <c r="B163" s="208">
        <f>$W$1</f>
        <v>2024</v>
      </c>
      <c r="C163" s="237"/>
      <c r="D163" s="218"/>
      <c r="E163" s="280" t="s">
        <v>594</v>
      </c>
      <c r="F163" s="280" t="s">
        <v>519</v>
      </c>
      <c r="G163" s="293" t="s">
        <v>849</v>
      </c>
      <c r="H163" s="208" t="s">
        <v>520</v>
      </c>
      <c r="I163" s="298"/>
      <c r="J163" s="238"/>
      <c r="K163" s="250"/>
      <c r="L163" s="238"/>
      <c r="M163" s="500"/>
      <c r="N163" s="528"/>
      <c r="O163" s="299"/>
      <c r="P163" s="300"/>
      <c r="Q163" s="384"/>
      <c r="R163" s="270">
        <f>SUM(S163,T163,U163,V163)</f>
        <v>0</v>
      </c>
      <c r="S163" s="270"/>
      <c r="T163" s="270"/>
      <c r="U163" s="270"/>
      <c r="V163" s="270"/>
    </row>
    <row r="164" spans="1:30" s="45" customFormat="1" ht="16.2" outlineLevel="1" x14ac:dyDescent="0.35">
      <c r="A164" s="290" t="s">
        <v>709</v>
      </c>
      <c r="B164" s="291"/>
      <c r="C164" s="237"/>
      <c r="D164" s="238" t="s">
        <v>540</v>
      </c>
      <c r="E164" s="404"/>
      <c r="F164" s="259"/>
      <c r="G164" s="232"/>
      <c r="H164" s="260"/>
      <c r="I164" s="258"/>
      <c r="J164" s="232"/>
      <c r="K164" s="251"/>
      <c r="L164" s="286"/>
      <c r="M164" s="498"/>
      <c r="N164" s="518"/>
      <c r="O164" s="288">
        <v>244</v>
      </c>
      <c r="P164" s="289">
        <v>223</v>
      </c>
      <c r="Q164" s="390"/>
      <c r="R164" s="207">
        <f>SUM(R165:R168)</f>
        <v>0</v>
      </c>
      <c r="S164" s="207">
        <f>SUM(S165:S168)</f>
        <v>0</v>
      </c>
      <c r="T164" s="207">
        <f>SUM(T165:T168)</f>
        <v>0</v>
      </c>
      <c r="U164" s="207">
        <f>SUM(U165:U168)</f>
        <v>0</v>
      </c>
      <c r="V164" s="207">
        <f>SUM(V165:V168)</f>
        <v>0</v>
      </c>
      <c r="AC164" s="414"/>
      <c r="AD164" s="471"/>
    </row>
    <row r="165" spans="1:30" ht="15.6" outlineLevel="1" x14ac:dyDescent="0.3">
      <c r="A165" s="264" t="s">
        <v>560</v>
      </c>
      <c r="B165" s="208">
        <f>$W$2</f>
        <v>2023</v>
      </c>
      <c r="C165" s="401"/>
      <c r="D165" s="292"/>
      <c r="E165" s="280" t="s">
        <v>594</v>
      </c>
      <c r="F165" s="280" t="s">
        <v>519</v>
      </c>
      <c r="G165" s="293" t="s">
        <v>849</v>
      </c>
      <c r="H165" s="208" t="s">
        <v>520</v>
      </c>
      <c r="I165" s="298"/>
      <c r="J165" s="238"/>
      <c r="K165" s="250"/>
      <c r="L165" s="238"/>
      <c r="M165" s="500"/>
      <c r="N165" s="528"/>
      <c r="O165" s="299"/>
      <c r="P165" s="300"/>
      <c r="Q165" s="384"/>
      <c r="R165" s="270">
        <f>SUM(S165,T165,U165,V165)</f>
        <v>0</v>
      </c>
      <c r="S165" s="270"/>
      <c r="T165" s="270"/>
      <c r="U165" s="270"/>
      <c r="V165" s="270"/>
    </row>
    <row r="166" spans="1:30" ht="15.6" outlineLevel="1" x14ac:dyDescent="0.3">
      <c r="A166" s="264" t="s">
        <v>586</v>
      </c>
      <c r="B166" s="208">
        <f>$W$1</f>
        <v>2024</v>
      </c>
      <c r="C166" s="401"/>
      <c r="D166" s="218"/>
      <c r="E166" s="280" t="s">
        <v>594</v>
      </c>
      <c r="F166" s="280" t="s">
        <v>519</v>
      </c>
      <c r="G166" s="293" t="s">
        <v>849</v>
      </c>
      <c r="H166" s="208" t="s">
        <v>520</v>
      </c>
      <c r="I166" s="298"/>
      <c r="J166" s="238"/>
      <c r="K166" s="250"/>
      <c r="L166" s="238"/>
      <c r="M166" s="500"/>
      <c r="N166" s="528"/>
      <c r="O166" s="299"/>
      <c r="P166" s="300"/>
      <c r="Q166" s="384"/>
      <c r="R166" s="270">
        <f>SUM(S166,T166,U166,V166)</f>
        <v>0</v>
      </c>
      <c r="S166" s="270"/>
      <c r="T166" s="270"/>
      <c r="U166" s="270"/>
      <c r="V166" s="270"/>
    </row>
    <row r="167" spans="1:30" ht="15.6" outlineLevel="1" x14ac:dyDescent="0.3">
      <c r="A167" s="264" t="s">
        <v>588</v>
      </c>
      <c r="B167" s="208">
        <f>$W$1</f>
        <v>2024</v>
      </c>
      <c r="C167" s="401"/>
      <c r="D167" s="218"/>
      <c r="E167" s="280" t="s">
        <v>594</v>
      </c>
      <c r="F167" s="280" t="s">
        <v>519</v>
      </c>
      <c r="G167" s="293" t="s">
        <v>849</v>
      </c>
      <c r="H167" s="208" t="s">
        <v>520</v>
      </c>
      <c r="I167" s="298"/>
      <c r="J167" s="238"/>
      <c r="K167" s="250"/>
      <c r="L167" s="238"/>
      <c r="M167" s="500"/>
      <c r="N167" s="528"/>
      <c r="O167" s="299"/>
      <c r="P167" s="300"/>
      <c r="Q167" s="384"/>
      <c r="R167" s="270">
        <f>SUM(S167,T167,U167,V167)</f>
        <v>0</v>
      </c>
      <c r="S167" s="270"/>
      <c r="T167" s="270"/>
      <c r="U167" s="270"/>
      <c r="V167" s="270"/>
    </row>
    <row r="168" spans="1:30" ht="15.6" outlineLevel="1" x14ac:dyDescent="0.3">
      <c r="A168" s="264" t="s">
        <v>560</v>
      </c>
      <c r="B168" s="208">
        <f>$W$1</f>
        <v>2024</v>
      </c>
      <c r="C168" s="401"/>
      <c r="D168" s="218"/>
      <c r="E168" s="280" t="s">
        <v>594</v>
      </c>
      <c r="F168" s="280" t="s">
        <v>519</v>
      </c>
      <c r="G168" s="293" t="s">
        <v>849</v>
      </c>
      <c r="H168" s="208" t="s">
        <v>520</v>
      </c>
      <c r="I168" s="298"/>
      <c r="J168" s="238"/>
      <c r="K168" s="250"/>
      <c r="L168" s="238"/>
      <c r="M168" s="500"/>
      <c r="N168" s="528"/>
      <c r="O168" s="299"/>
      <c r="P168" s="300"/>
      <c r="Q168" s="384"/>
      <c r="R168" s="270">
        <f>SUM(S168,T168,U168,V168)</f>
        <v>0</v>
      </c>
      <c r="S168" s="270"/>
      <c r="T168" s="270"/>
      <c r="U168" s="270"/>
      <c r="V168" s="270"/>
    </row>
    <row r="169" spans="1:30" s="45" customFormat="1" ht="16.2" outlineLevel="1" x14ac:dyDescent="0.35">
      <c r="A169" s="290" t="s">
        <v>539</v>
      </c>
      <c r="B169" s="291"/>
      <c r="C169" s="237"/>
      <c r="D169" s="238" t="s">
        <v>540</v>
      </c>
      <c r="E169" s="404"/>
      <c r="F169" s="259"/>
      <c r="G169" s="232"/>
      <c r="H169" s="260"/>
      <c r="I169" s="258"/>
      <c r="J169" s="232"/>
      <c r="K169" s="251"/>
      <c r="L169" s="286"/>
      <c r="M169" s="498"/>
      <c r="N169" s="518"/>
      <c r="O169" s="288">
        <v>244</v>
      </c>
      <c r="P169" s="289">
        <v>223</v>
      </c>
      <c r="Q169" s="390"/>
      <c r="R169" s="207">
        <f>SUM(R170:R173)</f>
        <v>0</v>
      </c>
      <c r="S169" s="207">
        <f>SUM(S170:S173)</f>
        <v>0</v>
      </c>
      <c r="T169" s="207">
        <f>SUM(T170:T173)</f>
        <v>0</v>
      </c>
      <c r="U169" s="207">
        <f>SUM(U170:U173)</f>
        <v>0</v>
      </c>
      <c r="V169" s="207">
        <f>SUM(V170:V173)</f>
        <v>0</v>
      </c>
      <c r="Y169" s="63"/>
      <c r="AC169" s="414"/>
      <c r="AD169" s="471"/>
    </row>
    <row r="170" spans="1:30" ht="15.6" outlineLevel="1" x14ac:dyDescent="0.3">
      <c r="A170" s="264" t="s">
        <v>560</v>
      </c>
      <c r="B170" s="208">
        <f>$W$2</f>
        <v>2023</v>
      </c>
      <c r="C170" s="237"/>
      <c r="D170" s="315"/>
      <c r="E170" s="280" t="s">
        <v>594</v>
      </c>
      <c r="F170" s="280" t="s">
        <v>519</v>
      </c>
      <c r="G170" s="293" t="s">
        <v>849</v>
      </c>
      <c r="H170" s="208" t="s">
        <v>520</v>
      </c>
      <c r="I170" s="298"/>
      <c r="J170" s="238"/>
      <c r="K170" s="250"/>
      <c r="L170" s="238"/>
      <c r="M170" s="500"/>
      <c r="N170" s="528"/>
      <c r="O170" s="299"/>
      <c r="P170" s="300"/>
      <c r="Q170" s="384"/>
      <c r="R170" s="270">
        <f>SUM(S170,T170,U170,V170)</f>
        <v>0</v>
      </c>
      <c r="S170" s="270"/>
      <c r="T170" s="270"/>
      <c r="U170" s="270"/>
      <c r="V170" s="270"/>
    </row>
    <row r="171" spans="1:30" ht="15.6" outlineLevel="1" x14ac:dyDescent="0.3">
      <c r="A171" s="264" t="s">
        <v>586</v>
      </c>
      <c r="B171" s="208">
        <f>$W$1</f>
        <v>2024</v>
      </c>
      <c r="C171" s="237"/>
      <c r="D171" s="315"/>
      <c r="E171" s="280" t="s">
        <v>594</v>
      </c>
      <c r="F171" s="280" t="s">
        <v>519</v>
      </c>
      <c r="G171" s="293" t="s">
        <v>849</v>
      </c>
      <c r="H171" s="208" t="s">
        <v>520</v>
      </c>
      <c r="I171" s="298"/>
      <c r="J171" s="238"/>
      <c r="K171" s="250"/>
      <c r="L171" s="238"/>
      <c r="M171" s="500"/>
      <c r="N171" s="528"/>
      <c r="O171" s="299"/>
      <c r="P171" s="300"/>
      <c r="Q171" s="384"/>
      <c r="R171" s="270">
        <f>SUM(S171,T171,U171,V171)</f>
        <v>0</v>
      </c>
      <c r="S171" s="270"/>
      <c r="T171" s="270"/>
      <c r="U171" s="270"/>
      <c r="V171" s="270"/>
      <c r="Y171" s="56"/>
    </row>
    <row r="172" spans="1:30" ht="15.6" outlineLevel="1" x14ac:dyDescent="0.3">
      <c r="A172" s="264" t="s">
        <v>588</v>
      </c>
      <c r="B172" s="208">
        <f>$W$1</f>
        <v>2024</v>
      </c>
      <c r="C172" s="237"/>
      <c r="D172" s="315"/>
      <c r="E172" s="280" t="s">
        <v>594</v>
      </c>
      <c r="F172" s="280" t="s">
        <v>519</v>
      </c>
      <c r="G172" s="293" t="s">
        <v>849</v>
      </c>
      <c r="H172" s="208" t="s">
        <v>520</v>
      </c>
      <c r="I172" s="298"/>
      <c r="J172" s="238"/>
      <c r="K172" s="250"/>
      <c r="L172" s="238"/>
      <c r="M172" s="500"/>
      <c r="N172" s="528"/>
      <c r="O172" s="299"/>
      <c r="P172" s="300"/>
      <c r="Q172" s="384"/>
      <c r="R172" s="270">
        <f>SUM(S172,T172,U172,V172)</f>
        <v>0</v>
      </c>
      <c r="S172" s="270"/>
      <c r="T172" s="270"/>
      <c r="U172" s="270"/>
      <c r="V172" s="270"/>
    </row>
    <row r="173" spans="1:30" ht="15.6" outlineLevel="1" x14ac:dyDescent="0.3">
      <c r="A173" s="264" t="s">
        <v>560</v>
      </c>
      <c r="B173" s="208">
        <f>$W$1</f>
        <v>2024</v>
      </c>
      <c r="C173" s="237"/>
      <c r="D173" s="315"/>
      <c r="E173" s="280" t="s">
        <v>594</v>
      </c>
      <c r="F173" s="280" t="s">
        <v>519</v>
      </c>
      <c r="G173" s="293" t="s">
        <v>849</v>
      </c>
      <c r="H173" s="208" t="s">
        <v>520</v>
      </c>
      <c r="I173" s="298"/>
      <c r="J173" s="238"/>
      <c r="K173" s="250"/>
      <c r="L173" s="238"/>
      <c r="M173" s="500"/>
      <c r="N173" s="528"/>
      <c r="O173" s="299"/>
      <c r="P173" s="300"/>
      <c r="Q173" s="384"/>
      <c r="R173" s="270">
        <f>SUM(S173,T173,U173,V173)</f>
        <v>0</v>
      </c>
      <c r="S173" s="270"/>
      <c r="T173" s="270"/>
      <c r="U173" s="270"/>
      <c r="V173" s="270"/>
    </row>
    <row r="174" spans="1:30" s="45" customFormat="1" ht="16.2" outlineLevel="1" x14ac:dyDescent="0.35">
      <c r="A174" s="290" t="s">
        <v>709</v>
      </c>
      <c r="B174" s="291"/>
      <c r="C174" s="237"/>
      <c r="D174" s="238" t="s">
        <v>540</v>
      </c>
      <c r="E174" s="239"/>
      <c r="F174" s="259"/>
      <c r="G174" s="232"/>
      <c r="H174" s="260"/>
      <c r="I174" s="258"/>
      <c r="J174" s="232"/>
      <c r="K174" s="251"/>
      <c r="L174" s="286"/>
      <c r="M174" s="498"/>
      <c r="N174" s="518"/>
      <c r="O174" s="288">
        <v>244</v>
      </c>
      <c r="P174" s="289">
        <v>223</v>
      </c>
      <c r="Q174" s="390"/>
      <c r="R174" s="207">
        <f>SUM(R175:R178)</f>
        <v>0</v>
      </c>
      <c r="S174" s="207">
        <f>SUM(S175:S178)</f>
        <v>0</v>
      </c>
      <c r="T174" s="207">
        <f>SUM(T175:T178)</f>
        <v>0</v>
      </c>
      <c r="U174" s="207">
        <f>SUM(U175:U178)</f>
        <v>0</v>
      </c>
      <c r="V174" s="207">
        <f>SUM(V175:V178)</f>
        <v>0</v>
      </c>
      <c r="AC174" s="414"/>
      <c r="AD174" s="471"/>
    </row>
    <row r="175" spans="1:30" ht="15.6" outlineLevel="1" x14ac:dyDescent="0.3">
      <c r="A175" s="264" t="s">
        <v>560</v>
      </c>
      <c r="B175" s="208">
        <f>$W$2</f>
        <v>2023</v>
      </c>
      <c r="C175" s="294"/>
      <c r="D175" s="292"/>
      <c r="E175" s="280" t="s">
        <v>594</v>
      </c>
      <c r="F175" s="280" t="s">
        <v>519</v>
      </c>
      <c r="G175" s="293" t="s">
        <v>849</v>
      </c>
      <c r="H175" s="208" t="s">
        <v>520</v>
      </c>
      <c r="I175" s="298"/>
      <c r="J175" s="238"/>
      <c r="K175" s="250"/>
      <c r="L175" s="238"/>
      <c r="M175" s="500"/>
      <c r="N175" s="528"/>
      <c r="O175" s="299"/>
      <c r="P175" s="300"/>
      <c r="Q175" s="384"/>
      <c r="R175" s="270">
        <f>SUM(S175,T175,U175,V175)</f>
        <v>0</v>
      </c>
      <c r="S175" s="270"/>
      <c r="T175" s="270"/>
      <c r="U175" s="270"/>
      <c r="V175" s="270"/>
    </row>
    <row r="176" spans="1:30" ht="15.6" outlineLevel="1" x14ac:dyDescent="0.3">
      <c r="A176" s="264" t="s">
        <v>586</v>
      </c>
      <c r="B176" s="208">
        <f>$W$1</f>
        <v>2024</v>
      </c>
      <c r="C176" s="294"/>
      <c r="D176" s="218"/>
      <c r="E176" s="280" t="s">
        <v>594</v>
      </c>
      <c r="F176" s="280" t="s">
        <v>519</v>
      </c>
      <c r="G176" s="293" t="s">
        <v>849</v>
      </c>
      <c r="H176" s="208" t="s">
        <v>520</v>
      </c>
      <c r="I176" s="298"/>
      <c r="J176" s="238"/>
      <c r="K176" s="250"/>
      <c r="L176" s="238"/>
      <c r="M176" s="500"/>
      <c r="N176" s="528"/>
      <c r="O176" s="299"/>
      <c r="P176" s="300"/>
      <c r="Q176" s="384"/>
      <c r="R176" s="270">
        <f>SUM(S176,T176,U176,V176)</f>
        <v>0</v>
      </c>
      <c r="S176" s="270"/>
      <c r="T176" s="270"/>
      <c r="U176" s="270"/>
      <c r="V176" s="270"/>
    </row>
    <row r="177" spans="1:30" ht="15.6" outlineLevel="1" x14ac:dyDescent="0.3">
      <c r="A177" s="264" t="s">
        <v>588</v>
      </c>
      <c r="B177" s="208">
        <f>$W$1</f>
        <v>2024</v>
      </c>
      <c r="C177" s="294"/>
      <c r="D177" s="218"/>
      <c r="E177" s="280" t="s">
        <v>594</v>
      </c>
      <c r="F177" s="280" t="s">
        <v>519</v>
      </c>
      <c r="G177" s="293" t="s">
        <v>849</v>
      </c>
      <c r="H177" s="208" t="s">
        <v>520</v>
      </c>
      <c r="I177" s="298"/>
      <c r="J177" s="238"/>
      <c r="K177" s="250"/>
      <c r="L177" s="238"/>
      <c r="M177" s="500"/>
      <c r="N177" s="528"/>
      <c r="O177" s="299"/>
      <c r="P177" s="300"/>
      <c r="Q177" s="384"/>
      <c r="R177" s="270">
        <f>SUM(S177,T177,U177,V177)</f>
        <v>0</v>
      </c>
      <c r="S177" s="270"/>
      <c r="T177" s="270"/>
      <c r="U177" s="270"/>
      <c r="V177" s="270"/>
    </row>
    <row r="178" spans="1:30" ht="15.6" outlineLevel="1" x14ac:dyDescent="0.3">
      <c r="A178" s="264" t="s">
        <v>560</v>
      </c>
      <c r="B178" s="208">
        <f>$W$1</f>
        <v>2024</v>
      </c>
      <c r="C178" s="294"/>
      <c r="D178" s="218"/>
      <c r="E178" s="280" t="s">
        <v>594</v>
      </c>
      <c r="F178" s="280" t="s">
        <v>519</v>
      </c>
      <c r="G178" s="293" t="s">
        <v>849</v>
      </c>
      <c r="H178" s="208" t="s">
        <v>520</v>
      </c>
      <c r="I178" s="298"/>
      <c r="J178" s="238"/>
      <c r="K178" s="250"/>
      <c r="L178" s="238"/>
      <c r="M178" s="500"/>
      <c r="N178" s="528"/>
      <c r="O178" s="299"/>
      <c r="P178" s="300"/>
      <c r="Q178" s="384"/>
      <c r="R178" s="270">
        <f>SUM(S178,T178,U178,V178)</f>
        <v>0</v>
      </c>
      <c r="S178" s="270"/>
      <c r="T178" s="270"/>
      <c r="U178" s="270"/>
      <c r="V178" s="270"/>
    </row>
    <row r="179" spans="1:30" s="283" customFormat="1" ht="16.2" x14ac:dyDescent="0.35">
      <c r="A179" s="231" t="s">
        <v>595</v>
      </c>
      <c r="B179" s="232"/>
      <c r="C179" s="232"/>
      <c r="D179" s="302"/>
      <c r="E179" s="232"/>
      <c r="F179" s="258"/>
      <c r="G179" s="258"/>
      <c r="H179" s="258"/>
      <c r="I179" s="260"/>
      <c r="J179" s="258"/>
      <c r="K179" s="282"/>
      <c r="L179" s="258"/>
      <c r="M179" s="503"/>
      <c r="N179" s="531"/>
      <c r="O179" s="261">
        <v>244</v>
      </c>
      <c r="P179" s="262">
        <v>223</v>
      </c>
      <c r="Q179" s="382"/>
      <c r="R179" s="263">
        <f>SUM(R180,R185,R190,R195)</f>
        <v>0</v>
      </c>
      <c r="S179" s="263">
        <f>SUM(S180,S185,S190,S195)</f>
        <v>0</v>
      </c>
      <c r="T179" s="263">
        <f>SUM(T180,T185,T190,T195)</f>
        <v>0</v>
      </c>
      <c r="U179" s="263">
        <f>SUM(U180,U185,U190,U195)</f>
        <v>0</v>
      </c>
      <c r="V179" s="263">
        <f>SUM(V180,V185,V190,V195)</f>
        <v>0</v>
      </c>
      <c r="AC179" s="414"/>
      <c r="AD179" s="471"/>
    </row>
    <row r="180" spans="1:30" s="45" customFormat="1" ht="16.2" outlineLevel="1" x14ac:dyDescent="0.35">
      <c r="A180" s="290" t="s">
        <v>539</v>
      </c>
      <c r="B180" s="291"/>
      <c r="C180" s="237"/>
      <c r="D180" s="238" t="s">
        <v>540</v>
      </c>
      <c r="E180" s="239"/>
      <c r="F180" s="259"/>
      <c r="G180" s="232"/>
      <c r="H180" s="260"/>
      <c r="I180" s="258"/>
      <c r="J180" s="232"/>
      <c r="K180" s="251"/>
      <c r="L180" s="286"/>
      <c r="M180" s="498"/>
      <c r="N180" s="518"/>
      <c r="O180" s="288">
        <v>244</v>
      </c>
      <c r="P180" s="289">
        <v>223</v>
      </c>
      <c r="Q180" s="390"/>
      <c r="R180" s="207">
        <f>SUM(R181:R184)</f>
        <v>0</v>
      </c>
      <c r="S180" s="207">
        <f>SUM(S181:S184)</f>
        <v>0</v>
      </c>
      <c r="T180" s="207">
        <f>SUM(T181:T184)</f>
        <v>0</v>
      </c>
      <c r="U180" s="207">
        <f>SUM(U181:U184)</f>
        <v>0</v>
      </c>
      <c r="V180" s="207">
        <f>SUM(V181:V184)</f>
        <v>0</v>
      </c>
      <c r="AC180" s="414"/>
      <c r="AD180" s="471"/>
    </row>
    <row r="181" spans="1:30" ht="15.6" outlineLevel="1" x14ac:dyDescent="0.3">
      <c r="A181" s="264" t="s">
        <v>560</v>
      </c>
      <c r="B181" s="208">
        <f>$W$2</f>
        <v>2023</v>
      </c>
      <c r="C181" s="237"/>
      <c r="D181" s="292"/>
      <c r="E181" s="280" t="s">
        <v>594</v>
      </c>
      <c r="F181" s="280" t="s">
        <v>519</v>
      </c>
      <c r="G181" s="293">
        <v>39.24</v>
      </c>
      <c r="H181" s="208" t="s">
        <v>520</v>
      </c>
      <c r="I181" s="298"/>
      <c r="J181" s="238"/>
      <c r="K181" s="250"/>
      <c r="L181" s="238"/>
      <c r="M181" s="500"/>
      <c r="N181" s="528"/>
      <c r="O181" s="299"/>
      <c r="P181" s="300"/>
      <c r="Q181" s="384"/>
      <c r="R181" s="270">
        <f>SUM(S181,T181,U181,V181)</f>
        <v>0</v>
      </c>
      <c r="S181" s="270"/>
      <c r="T181" s="270"/>
      <c r="U181" s="270"/>
      <c r="V181" s="270"/>
    </row>
    <row r="182" spans="1:30" ht="15.6" outlineLevel="1" x14ac:dyDescent="0.3">
      <c r="A182" s="264" t="s">
        <v>586</v>
      </c>
      <c r="B182" s="208">
        <f>$W$1</f>
        <v>2024</v>
      </c>
      <c r="C182" s="237"/>
      <c r="D182" s="292"/>
      <c r="E182" s="280" t="s">
        <v>594</v>
      </c>
      <c r="F182" s="280" t="s">
        <v>519</v>
      </c>
      <c r="G182" s="293">
        <v>39.24</v>
      </c>
      <c r="H182" s="208" t="s">
        <v>520</v>
      </c>
      <c r="I182" s="298"/>
      <c r="J182" s="238"/>
      <c r="K182" s="250"/>
      <c r="L182" s="238"/>
      <c r="M182" s="500"/>
      <c r="N182" s="528"/>
      <c r="O182" s="299"/>
      <c r="P182" s="300"/>
      <c r="Q182" s="384"/>
      <c r="R182" s="270">
        <f>SUM(S182,T182,U182,V182)</f>
        <v>0</v>
      </c>
      <c r="S182" s="270"/>
      <c r="T182" s="270"/>
      <c r="U182" s="270"/>
      <c r="V182" s="270"/>
    </row>
    <row r="183" spans="1:30" ht="15.6" outlineLevel="1" x14ac:dyDescent="0.3">
      <c r="A183" s="264" t="s">
        <v>588</v>
      </c>
      <c r="B183" s="208">
        <f>$W$1</f>
        <v>2024</v>
      </c>
      <c r="C183" s="237"/>
      <c r="D183" s="400"/>
      <c r="E183" s="280" t="s">
        <v>594</v>
      </c>
      <c r="F183" s="280" t="s">
        <v>519</v>
      </c>
      <c r="G183" s="569">
        <v>39.24</v>
      </c>
      <c r="H183" s="208" t="s">
        <v>520</v>
      </c>
      <c r="I183" s="298"/>
      <c r="J183" s="238"/>
      <c r="K183" s="250"/>
      <c r="L183" s="238"/>
      <c r="M183" s="500"/>
      <c r="N183" s="528"/>
      <c r="O183" s="299"/>
      <c r="P183" s="300"/>
      <c r="Q183" s="384"/>
      <c r="R183" s="270">
        <f>SUM(S183,T183,U183,V183)</f>
        <v>0</v>
      </c>
      <c r="S183" s="270"/>
      <c r="T183" s="270"/>
      <c r="U183" s="270"/>
      <c r="V183" s="270"/>
    </row>
    <row r="184" spans="1:30" ht="15.6" outlineLevel="1" x14ac:dyDescent="0.3">
      <c r="A184" s="264" t="s">
        <v>560</v>
      </c>
      <c r="B184" s="208">
        <f>$W$1</f>
        <v>2024</v>
      </c>
      <c r="C184" s="237"/>
      <c r="D184" s="400"/>
      <c r="E184" s="280" t="s">
        <v>594</v>
      </c>
      <c r="F184" s="280" t="s">
        <v>519</v>
      </c>
      <c r="G184" s="569">
        <v>39.24</v>
      </c>
      <c r="H184" s="208" t="s">
        <v>520</v>
      </c>
      <c r="I184" s="298"/>
      <c r="J184" s="238"/>
      <c r="K184" s="250"/>
      <c r="L184" s="238"/>
      <c r="M184" s="500"/>
      <c r="N184" s="528"/>
      <c r="O184" s="299"/>
      <c r="P184" s="300"/>
      <c r="Q184" s="384"/>
      <c r="R184" s="270">
        <f>SUM(S184,T184,U184,V184)</f>
        <v>0</v>
      </c>
      <c r="S184" s="270"/>
      <c r="T184" s="270"/>
      <c r="U184" s="270"/>
      <c r="V184" s="270"/>
    </row>
    <row r="185" spans="1:30" s="45" customFormat="1" ht="16.2" outlineLevel="1" x14ac:dyDescent="0.35">
      <c r="A185" s="290" t="s">
        <v>709</v>
      </c>
      <c r="B185" s="291"/>
      <c r="C185" s="237"/>
      <c r="D185" s="238" t="s">
        <v>540</v>
      </c>
      <c r="E185" s="404"/>
      <c r="F185" s="259"/>
      <c r="G185" s="232"/>
      <c r="H185" s="260"/>
      <c r="I185" s="258"/>
      <c r="J185" s="232"/>
      <c r="K185" s="251"/>
      <c r="L185" s="286"/>
      <c r="M185" s="498"/>
      <c r="N185" s="518"/>
      <c r="O185" s="288">
        <v>244</v>
      </c>
      <c r="P185" s="289">
        <v>223</v>
      </c>
      <c r="Q185" s="390"/>
      <c r="R185" s="207">
        <f>SUM(R186:R189)</f>
        <v>0</v>
      </c>
      <c r="S185" s="207">
        <f>SUM(S186:S189)</f>
        <v>0</v>
      </c>
      <c r="T185" s="207">
        <f>SUM(T186:T189)</f>
        <v>0</v>
      </c>
      <c r="U185" s="207">
        <f>SUM(U186:U189)</f>
        <v>0</v>
      </c>
      <c r="V185" s="207">
        <f>SUM(V186:V189)</f>
        <v>0</v>
      </c>
      <c r="AC185" s="414"/>
      <c r="AD185" s="471"/>
    </row>
    <row r="186" spans="1:30" ht="15.6" outlineLevel="1" x14ac:dyDescent="0.3">
      <c r="A186" s="264" t="s">
        <v>560</v>
      </c>
      <c r="B186" s="208">
        <f>$W$2</f>
        <v>2023</v>
      </c>
      <c r="C186" s="401"/>
      <c r="D186" s="292"/>
      <c r="E186" s="280" t="s">
        <v>594</v>
      </c>
      <c r="F186" s="280" t="s">
        <v>519</v>
      </c>
      <c r="G186" s="293">
        <v>39.24</v>
      </c>
      <c r="H186" s="208" t="s">
        <v>520</v>
      </c>
      <c r="I186" s="238"/>
      <c r="J186" s="298"/>
      <c r="K186" s="238"/>
      <c r="L186" s="238"/>
      <c r="M186" s="500"/>
      <c r="N186" s="528"/>
      <c r="O186" s="299"/>
      <c r="P186" s="300"/>
      <c r="Q186" s="384"/>
      <c r="R186" s="270">
        <f>SUM(S186,T186,U186,V186)</f>
        <v>0</v>
      </c>
      <c r="S186" s="270"/>
      <c r="T186" s="270"/>
      <c r="U186" s="270"/>
      <c r="V186" s="270"/>
    </row>
    <row r="187" spans="1:30" ht="15.6" outlineLevel="1" x14ac:dyDescent="0.3">
      <c r="A187" s="264" t="s">
        <v>586</v>
      </c>
      <c r="B187" s="208">
        <f>$W$1</f>
        <v>2024</v>
      </c>
      <c r="C187" s="401"/>
      <c r="D187" s="292"/>
      <c r="E187" s="280" t="s">
        <v>594</v>
      </c>
      <c r="F187" s="280" t="s">
        <v>519</v>
      </c>
      <c r="G187" s="293">
        <v>39.24</v>
      </c>
      <c r="H187" s="208" t="s">
        <v>520</v>
      </c>
      <c r="I187" s="238"/>
      <c r="J187" s="298"/>
      <c r="K187" s="238"/>
      <c r="L187" s="238"/>
      <c r="M187" s="500"/>
      <c r="N187" s="528"/>
      <c r="O187" s="299"/>
      <c r="P187" s="300"/>
      <c r="Q187" s="384"/>
      <c r="R187" s="270">
        <f>SUM(S187,T187,U187,V187)</f>
        <v>0</v>
      </c>
      <c r="S187" s="270"/>
      <c r="T187" s="270"/>
      <c r="U187" s="270"/>
      <c r="V187" s="270"/>
    </row>
    <row r="188" spans="1:30" ht="15.6" outlineLevel="1" x14ac:dyDescent="0.3">
      <c r="A188" s="264" t="s">
        <v>588</v>
      </c>
      <c r="B188" s="208">
        <f>$W$1</f>
        <v>2024</v>
      </c>
      <c r="C188" s="401"/>
      <c r="D188" s="400"/>
      <c r="E188" s="280" t="s">
        <v>594</v>
      </c>
      <c r="F188" s="280" t="s">
        <v>519</v>
      </c>
      <c r="G188" s="569">
        <v>39.24</v>
      </c>
      <c r="H188" s="208" t="s">
        <v>520</v>
      </c>
      <c r="I188" s="238"/>
      <c r="J188" s="298"/>
      <c r="K188" s="238"/>
      <c r="L188" s="238"/>
      <c r="M188" s="500"/>
      <c r="N188" s="528"/>
      <c r="O188" s="299"/>
      <c r="P188" s="300"/>
      <c r="Q188" s="384"/>
      <c r="R188" s="270">
        <f>SUM(S188,T188,U188,V188)</f>
        <v>0</v>
      </c>
      <c r="S188" s="270"/>
      <c r="T188" s="270"/>
      <c r="U188" s="270"/>
      <c r="V188" s="270"/>
    </row>
    <row r="189" spans="1:30" ht="15.6" outlineLevel="1" x14ac:dyDescent="0.3">
      <c r="A189" s="264" t="s">
        <v>560</v>
      </c>
      <c r="B189" s="208">
        <f>$W$1</f>
        <v>2024</v>
      </c>
      <c r="C189" s="401"/>
      <c r="D189" s="400"/>
      <c r="E189" s="280" t="s">
        <v>594</v>
      </c>
      <c r="F189" s="280" t="s">
        <v>519</v>
      </c>
      <c r="G189" s="569">
        <v>39.24</v>
      </c>
      <c r="H189" s="208" t="s">
        <v>520</v>
      </c>
      <c r="I189" s="238"/>
      <c r="J189" s="298"/>
      <c r="K189" s="238"/>
      <c r="L189" s="238"/>
      <c r="M189" s="500"/>
      <c r="N189" s="528"/>
      <c r="O189" s="299"/>
      <c r="P189" s="300"/>
      <c r="Q189" s="384"/>
      <c r="R189" s="270">
        <f>SUM(S189,T189,U189,V189)</f>
        <v>0</v>
      </c>
      <c r="S189" s="270"/>
      <c r="T189" s="270"/>
      <c r="U189" s="270"/>
      <c r="V189" s="270"/>
    </row>
    <row r="190" spans="1:30" s="45" customFormat="1" ht="16.2" outlineLevel="1" x14ac:dyDescent="0.35">
      <c r="A190" s="290" t="s">
        <v>539</v>
      </c>
      <c r="B190" s="291"/>
      <c r="C190" s="237"/>
      <c r="D190" s="238" t="s">
        <v>540</v>
      </c>
      <c r="E190" s="404"/>
      <c r="F190" s="259"/>
      <c r="G190" s="232"/>
      <c r="H190" s="260"/>
      <c r="I190" s="258"/>
      <c r="J190" s="232"/>
      <c r="K190" s="251"/>
      <c r="L190" s="286"/>
      <c r="M190" s="498"/>
      <c r="N190" s="518"/>
      <c r="O190" s="288">
        <v>244</v>
      </c>
      <c r="P190" s="289">
        <v>223</v>
      </c>
      <c r="Q190" s="390"/>
      <c r="R190" s="207">
        <f>SUM(R191:R194)</f>
        <v>0</v>
      </c>
      <c r="S190" s="207">
        <f>SUM(S191:S194)</f>
        <v>0</v>
      </c>
      <c r="T190" s="207">
        <f>SUM(T191:T194)</f>
        <v>0</v>
      </c>
      <c r="U190" s="207">
        <f>SUM(U191:U194)</f>
        <v>0</v>
      </c>
      <c r="V190" s="207">
        <f>SUM(V191:V194)</f>
        <v>0</v>
      </c>
      <c r="AC190" s="414"/>
      <c r="AD190" s="471"/>
    </row>
    <row r="191" spans="1:30" ht="15.6" outlineLevel="1" x14ac:dyDescent="0.3">
      <c r="A191" s="264" t="s">
        <v>560</v>
      </c>
      <c r="B191" s="208">
        <f>$W$2</f>
        <v>2023</v>
      </c>
      <c r="C191" s="237"/>
      <c r="D191" s="315"/>
      <c r="E191" s="280" t="s">
        <v>594</v>
      </c>
      <c r="F191" s="280" t="s">
        <v>519</v>
      </c>
      <c r="G191" s="293">
        <v>39.24</v>
      </c>
      <c r="H191" s="208" t="s">
        <v>520</v>
      </c>
      <c r="I191" s="238"/>
      <c r="J191" s="298"/>
      <c r="K191" s="238"/>
      <c r="L191" s="238"/>
      <c r="M191" s="500"/>
      <c r="N191" s="528"/>
      <c r="O191" s="299"/>
      <c r="P191" s="300"/>
      <c r="Q191" s="384"/>
      <c r="R191" s="270">
        <f>SUM(S191,T191,U191,V191)</f>
        <v>0</v>
      </c>
      <c r="S191" s="270"/>
      <c r="T191" s="270"/>
      <c r="U191" s="270"/>
      <c r="V191" s="270"/>
    </row>
    <row r="192" spans="1:30" ht="15.6" outlineLevel="1" x14ac:dyDescent="0.3">
      <c r="A192" s="264" t="s">
        <v>586</v>
      </c>
      <c r="B192" s="208">
        <f>$W$1</f>
        <v>2024</v>
      </c>
      <c r="C192" s="237"/>
      <c r="D192" s="315"/>
      <c r="E192" s="280" t="s">
        <v>594</v>
      </c>
      <c r="F192" s="280" t="s">
        <v>519</v>
      </c>
      <c r="G192" s="293">
        <v>39.24</v>
      </c>
      <c r="H192" s="208" t="s">
        <v>520</v>
      </c>
      <c r="I192" s="238"/>
      <c r="J192" s="298"/>
      <c r="K192" s="238"/>
      <c r="L192" s="238"/>
      <c r="M192" s="500"/>
      <c r="N192" s="528"/>
      <c r="O192" s="299"/>
      <c r="P192" s="300"/>
      <c r="Q192" s="384"/>
      <c r="R192" s="270">
        <f>SUM(S192,T192,U192,V192)</f>
        <v>0</v>
      </c>
      <c r="S192" s="270"/>
      <c r="T192" s="270"/>
      <c r="U192" s="270"/>
      <c r="V192" s="270"/>
    </row>
    <row r="193" spans="1:30" ht="15.6" outlineLevel="1" x14ac:dyDescent="0.3">
      <c r="A193" s="264" t="s">
        <v>588</v>
      </c>
      <c r="B193" s="208">
        <f>$W$1</f>
        <v>2024</v>
      </c>
      <c r="C193" s="237"/>
      <c r="D193" s="400"/>
      <c r="E193" s="280" t="s">
        <v>594</v>
      </c>
      <c r="F193" s="280" t="s">
        <v>519</v>
      </c>
      <c r="G193" s="569">
        <v>39.24</v>
      </c>
      <c r="H193" s="208" t="s">
        <v>520</v>
      </c>
      <c r="I193" s="238"/>
      <c r="J193" s="298"/>
      <c r="K193" s="238"/>
      <c r="L193" s="238"/>
      <c r="M193" s="500"/>
      <c r="N193" s="528"/>
      <c r="O193" s="299"/>
      <c r="P193" s="300"/>
      <c r="Q193" s="384"/>
      <c r="R193" s="270">
        <f>SUM(S193,T193,U193,V193)</f>
        <v>0</v>
      </c>
      <c r="S193" s="270"/>
      <c r="T193" s="270"/>
      <c r="U193" s="270"/>
      <c r="V193" s="270"/>
    </row>
    <row r="194" spans="1:30" ht="15.6" outlineLevel="1" x14ac:dyDescent="0.3">
      <c r="A194" s="264" t="s">
        <v>560</v>
      </c>
      <c r="B194" s="208">
        <f>$W$1</f>
        <v>2024</v>
      </c>
      <c r="C194" s="237"/>
      <c r="D194" s="400"/>
      <c r="E194" s="280" t="s">
        <v>594</v>
      </c>
      <c r="F194" s="280" t="s">
        <v>519</v>
      </c>
      <c r="G194" s="569">
        <v>39.24</v>
      </c>
      <c r="H194" s="208" t="s">
        <v>520</v>
      </c>
      <c r="I194" s="238"/>
      <c r="J194" s="298"/>
      <c r="K194" s="238"/>
      <c r="L194" s="238"/>
      <c r="M194" s="500"/>
      <c r="N194" s="528"/>
      <c r="O194" s="299"/>
      <c r="P194" s="300"/>
      <c r="Q194" s="384"/>
      <c r="R194" s="270">
        <f>SUM(S194,T194,U194,V194)</f>
        <v>0</v>
      </c>
      <c r="S194" s="270"/>
      <c r="T194" s="270"/>
      <c r="U194" s="270"/>
      <c r="V194" s="270"/>
    </row>
    <row r="195" spans="1:30" s="45" customFormat="1" ht="16.2" outlineLevel="1" x14ac:dyDescent="0.35">
      <c r="A195" s="290" t="s">
        <v>709</v>
      </c>
      <c r="B195" s="291"/>
      <c r="C195" s="237"/>
      <c r="D195" s="238" t="s">
        <v>540</v>
      </c>
      <c r="E195" s="239"/>
      <c r="F195" s="259"/>
      <c r="G195" s="232"/>
      <c r="H195" s="260"/>
      <c r="I195" s="258"/>
      <c r="J195" s="232"/>
      <c r="K195" s="251"/>
      <c r="L195" s="286"/>
      <c r="M195" s="498"/>
      <c r="N195" s="518"/>
      <c r="O195" s="288">
        <v>244</v>
      </c>
      <c r="P195" s="289">
        <v>223</v>
      </c>
      <c r="Q195" s="390"/>
      <c r="R195" s="207">
        <f>SUM(R196:R199)</f>
        <v>0</v>
      </c>
      <c r="S195" s="207">
        <f>SUM(S196:S199)</f>
        <v>0</v>
      </c>
      <c r="T195" s="207">
        <f>SUM(T196:T199)</f>
        <v>0</v>
      </c>
      <c r="U195" s="207">
        <f>SUM(U196:U199)</f>
        <v>0</v>
      </c>
      <c r="V195" s="207">
        <f>SUM(V196:V199)</f>
        <v>0</v>
      </c>
      <c r="AC195" s="414"/>
      <c r="AD195" s="471"/>
    </row>
    <row r="196" spans="1:30" ht="15.6" outlineLevel="1" x14ac:dyDescent="0.3">
      <c r="A196" s="264" t="s">
        <v>560</v>
      </c>
      <c r="B196" s="208">
        <f>$W$2</f>
        <v>2023</v>
      </c>
      <c r="C196" s="237"/>
      <c r="D196" s="292"/>
      <c r="E196" s="280" t="s">
        <v>594</v>
      </c>
      <c r="F196" s="280" t="s">
        <v>519</v>
      </c>
      <c r="G196" s="293">
        <v>39.24</v>
      </c>
      <c r="H196" s="208" t="s">
        <v>520</v>
      </c>
      <c r="I196" s="238"/>
      <c r="J196" s="298"/>
      <c r="K196" s="238"/>
      <c r="L196" s="238"/>
      <c r="M196" s="500"/>
      <c r="N196" s="528"/>
      <c r="O196" s="299"/>
      <c r="P196" s="300"/>
      <c r="Q196" s="384"/>
      <c r="R196" s="270">
        <f>SUM(S196,T196,U196,V196)</f>
        <v>0</v>
      </c>
      <c r="S196" s="270"/>
      <c r="T196" s="270"/>
      <c r="U196" s="270"/>
      <c r="V196" s="270"/>
    </row>
    <row r="197" spans="1:30" ht="15.6" outlineLevel="1" x14ac:dyDescent="0.3">
      <c r="A197" s="264" t="s">
        <v>586</v>
      </c>
      <c r="B197" s="208">
        <f>$W$1</f>
        <v>2024</v>
      </c>
      <c r="C197" s="237"/>
      <c r="D197" s="292"/>
      <c r="E197" s="280" t="s">
        <v>594</v>
      </c>
      <c r="F197" s="280" t="s">
        <v>519</v>
      </c>
      <c r="G197" s="293">
        <v>39.24</v>
      </c>
      <c r="H197" s="208" t="s">
        <v>520</v>
      </c>
      <c r="I197" s="238"/>
      <c r="J197" s="298"/>
      <c r="K197" s="238"/>
      <c r="L197" s="238"/>
      <c r="M197" s="500"/>
      <c r="N197" s="528"/>
      <c r="O197" s="299"/>
      <c r="P197" s="300"/>
      <c r="Q197" s="384"/>
      <c r="R197" s="270">
        <f>SUM(S197,T197,U197,V197)</f>
        <v>0</v>
      </c>
      <c r="S197" s="270"/>
      <c r="T197" s="270"/>
      <c r="U197" s="270"/>
      <c r="V197" s="270"/>
    </row>
    <row r="198" spans="1:30" ht="15.6" outlineLevel="1" x14ac:dyDescent="0.3">
      <c r="A198" s="264" t="s">
        <v>588</v>
      </c>
      <c r="B198" s="208">
        <f>$W$1</f>
        <v>2024</v>
      </c>
      <c r="C198" s="237"/>
      <c r="D198" s="292"/>
      <c r="E198" s="280" t="s">
        <v>594</v>
      </c>
      <c r="F198" s="280" t="s">
        <v>519</v>
      </c>
      <c r="G198" s="569">
        <v>39.24</v>
      </c>
      <c r="H198" s="208" t="s">
        <v>520</v>
      </c>
      <c r="I198" s="238"/>
      <c r="J198" s="298"/>
      <c r="K198" s="238"/>
      <c r="L198" s="238"/>
      <c r="M198" s="500"/>
      <c r="N198" s="528"/>
      <c r="O198" s="299"/>
      <c r="P198" s="300"/>
      <c r="Q198" s="384"/>
      <c r="R198" s="270">
        <f>SUM(S198,T198,U198,V198)</f>
        <v>0</v>
      </c>
      <c r="S198" s="270"/>
      <c r="T198" s="270"/>
      <c r="U198" s="270"/>
      <c r="V198" s="270"/>
    </row>
    <row r="199" spans="1:30" ht="15.6" outlineLevel="1" x14ac:dyDescent="0.3">
      <c r="A199" s="264" t="s">
        <v>560</v>
      </c>
      <c r="B199" s="208">
        <f>$W$1</f>
        <v>2024</v>
      </c>
      <c r="C199" s="237"/>
      <c r="D199" s="292"/>
      <c r="E199" s="280" t="s">
        <v>594</v>
      </c>
      <c r="F199" s="280" t="s">
        <v>519</v>
      </c>
      <c r="G199" s="569">
        <v>39.24</v>
      </c>
      <c r="H199" s="208" t="s">
        <v>520</v>
      </c>
      <c r="I199" s="238"/>
      <c r="J199" s="298"/>
      <c r="K199" s="238"/>
      <c r="L199" s="238"/>
      <c r="M199" s="500"/>
      <c r="N199" s="528"/>
      <c r="O199" s="299"/>
      <c r="P199" s="300"/>
      <c r="Q199" s="384"/>
      <c r="R199" s="270">
        <f>SUM(S199,T199,U199,V199)</f>
        <v>0</v>
      </c>
      <c r="S199" s="270"/>
      <c r="T199" s="270"/>
      <c r="U199" s="270"/>
      <c r="V199" s="270"/>
    </row>
    <row r="200" spans="1:30" s="283" customFormat="1" ht="16.2" x14ac:dyDescent="0.35">
      <c r="A200" s="231" t="s">
        <v>785</v>
      </c>
      <c r="B200" s="232"/>
      <c r="C200" s="232"/>
      <c r="D200" s="302"/>
      <c r="E200" s="232"/>
      <c r="F200" s="258"/>
      <c r="G200" s="258"/>
      <c r="H200" s="258"/>
      <c r="I200" s="260"/>
      <c r="J200" s="258"/>
      <c r="K200" s="282"/>
      <c r="L200" s="258"/>
      <c r="M200" s="503"/>
      <c r="N200" s="531"/>
      <c r="O200" s="261">
        <v>244</v>
      </c>
      <c r="P200" s="262">
        <v>223</v>
      </c>
      <c r="Q200" s="382"/>
      <c r="R200" s="263">
        <f>SUM(R201,R206,R211,R216)</f>
        <v>0</v>
      </c>
      <c r="S200" s="263">
        <f>SUM(S201,S206,S211,S216)</f>
        <v>0</v>
      </c>
      <c r="T200" s="263">
        <f>SUM(T201,T206,T211,T216)</f>
        <v>0</v>
      </c>
      <c r="U200" s="263">
        <f>SUM(U201,U206,U211,U216)</f>
        <v>0</v>
      </c>
      <c r="V200" s="263">
        <f>SUM(V201,V206,V211,V216)</f>
        <v>0</v>
      </c>
      <c r="AC200" s="414"/>
      <c r="AD200" s="471"/>
    </row>
    <row r="201" spans="1:30" s="45" customFormat="1" ht="16.2" outlineLevel="1" x14ac:dyDescent="0.35">
      <c r="A201" s="290" t="s">
        <v>539</v>
      </c>
      <c r="B201" s="291">
        <f>B180</f>
        <v>0</v>
      </c>
      <c r="C201" s="237"/>
      <c r="D201" s="238" t="s">
        <v>540</v>
      </c>
      <c r="E201" s="239"/>
      <c r="F201" s="259"/>
      <c r="G201" s="232"/>
      <c r="H201" s="260"/>
      <c r="I201" s="258"/>
      <c r="J201" s="232"/>
      <c r="K201" s="251"/>
      <c r="L201" s="286"/>
      <c r="M201" s="498"/>
      <c r="N201" s="518"/>
      <c r="O201" s="288">
        <v>244</v>
      </c>
      <c r="P201" s="289">
        <v>223</v>
      </c>
      <c r="Q201" s="390"/>
      <c r="R201" s="207">
        <f>SUM(R202:R205)</f>
        <v>0</v>
      </c>
      <c r="S201" s="207">
        <f>SUM(S202:S205)</f>
        <v>0</v>
      </c>
      <c r="T201" s="207">
        <f>SUM(T202:T205)</f>
        <v>0</v>
      </c>
      <c r="U201" s="207">
        <f>SUM(U202:U205)</f>
        <v>0</v>
      </c>
      <c r="V201" s="207">
        <f>SUM(V202:V205)</f>
        <v>0</v>
      </c>
      <c r="AC201" s="414"/>
      <c r="AD201" s="471"/>
    </row>
    <row r="202" spans="1:30" ht="15.6" outlineLevel="1" x14ac:dyDescent="0.3">
      <c r="A202" s="264" t="s">
        <v>560</v>
      </c>
      <c r="B202" s="208">
        <f>$W$2</f>
        <v>2023</v>
      </c>
      <c r="C202" s="237"/>
      <c r="D202" s="315"/>
      <c r="E202" s="280" t="s">
        <v>594</v>
      </c>
      <c r="F202" s="280" t="s">
        <v>519</v>
      </c>
      <c r="G202" s="293">
        <v>39.24</v>
      </c>
      <c r="H202" s="208" t="s">
        <v>520</v>
      </c>
      <c r="I202" s="298"/>
      <c r="J202" s="238"/>
      <c r="K202" s="250"/>
      <c r="L202" s="238"/>
      <c r="M202" s="500"/>
      <c r="N202" s="528"/>
      <c r="O202" s="299"/>
      <c r="P202" s="300"/>
      <c r="Q202" s="384"/>
      <c r="R202" s="270">
        <f>SUM(S202,T202,U202,V202)</f>
        <v>0</v>
      </c>
      <c r="S202" s="270"/>
      <c r="T202" s="270"/>
      <c r="U202" s="270"/>
      <c r="V202" s="270"/>
    </row>
    <row r="203" spans="1:30" ht="15.6" outlineLevel="1" x14ac:dyDescent="0.3">
      <c r="A203" s="264" t="s">
        <v>586</v>
      </c>
      <c r="B203" s="208">
        <f>$W$1</f>
        <v>2024</v>
      </c>
      <c r="C203" s="237"/>
      <c r="D203" s="315"/>
      <c r="E203" s="280" t="s">
        <v>594</v>
      </c>
      <c r="F203" s="280" t="s">
        <v>519</v>
      </c>
      <c r="G203" s="293">
        <v>39.24</v>
      </c>
      <c r="H203" s="208" t="s">
        <v>520</v>
      </c>
      <c r="I203" s="298"/>
      <c r="J203" s="238"/>
      <c r="K203" s="250"/>
      <c r="L203" s="238"/>
      <c r="M203" s="500"/>
      <c r="N203" s="528"/>
      <c r="O203" s="299"/>
      <c r="P203" s="300"/>
      <c r="Q203" s="384"/>
      <c r="R203" s="270">
        <f>SUM(S203,T203,U203,V203)</f>
        <v>0</v>
      </c>
      <c r="S203" s="270"/>
      <c r="T203" s="270"/>
      <c r="U203" s="270"/>
      <c r="V203" s="270"/>
    </row>
    <row r="204" spans="1:30" ht="15.6" outlineLevel="1" x14ac:dyDescent="0.3">
      <c r="A204" s="264" t="s">
        <v>588</v>
      </c>
      <c r="B204" s="208">
        <f>$W$1</f>
        <v>2024</v>
      </c>
      <c r="C204" s="237"/>
      <c r="D204" s="315"/>
      <c r="E204" s="280" t="s">
        <v>594</v>
      </c>
      <c r="F204" s="280" t="s">
        <v>519</v>
      </c>
      <c r="G204" s="569">
        <v>39.24</v>
      </c>
      <c r="H204" s="208" t="s">
        <v>520</v>
      </c>
      <c r="I204" s="298"/>
      <c r="J204" s="238"/>
      <c r="K204" s="250"/>
      <c r="L204" s="238"/>
      <c r="M204" s="500"/>
      <c r="N204" s="528"/>
      <c r="O204" s="299"/>
      <c r="P204" s="300"/>
      <c r="Q204" s="384"/>
      <c r="R204" s="270">
        <f>SUM(S204,T204,U204,V204)</f>
        <v>0</v>
      </c>
      <c r="S204" s="270"/>
      <c r="T204" s="270"/>
      <c r="U204" s="270"/>
      <c r="V204" s="270"/>
    </row>
    <row r="205" spans="1:30" ht="15.6" outlineLevel="1" x14ac:dyDescent="0.3">
      <c r="A205" s="264" t="s">
        <v>560</v>
      </c>
      <c r="B205" s="208">
        <f>$W$1</f>
        <v>2024</v>
      </c>
      <c r="C205" s="237"/>
      <c r="D205" s="315"/>
      <c r="E205" s="280" t="s">
        <v>594</v>
      </c>
      <c r="F205" s="280" t="s">
        <v>519</v>
      </c>
      <c r="G205" s="569">
        <v>39.24</v>
      </c>
      <c r="H205" s="208" t="s">
        <v>520</v>
      </c>
      <c r="I205" s="298"/>
      <c r="J205" s="238"/>
      <c r="K205" s="250"/>
      <c r="L205" s="238"/>
      <c r="M205" s="500"/>
      <c r="N205" s="528"/>
      <c r="O205" s="299"/>
      <c r="P205" s="300"/>
      <c r="Q205" s="384"/>
      <c r="R205" s="270">
        <f>SUM(S205,T205,U205,V205)</f>
        <v>0</v>
      </c>
      <c r="S205" s="270"/>
      <c r="T205" s="270"/>
      <c r="U205" s="270"/>
      <c r="V205" s="270"/>
    </row>
    <row r="206" spans="1:30" s="45" customFormat="1" ht="16.2" outlineLevel="1" x14ac:dyDescent="0.35">
      <c r="A206" s="290" t="s">
        <v>709</v>
      </c>
      <c r="B206" s="291">
        <f>B185</f>
        <v>0</v>
      </c>
      <c r="C206" s="237"/>
      <c r="D206" s="238" t="s">
        <v>540</v>
      </c>
      <c r="E206" s="404"/>
      <c r="F206" s="259"/>
      <c r="G206" s="232"/>
      <c r="H206" s="260"/>
      <c r="I206" s="258"/>
      <c r="J206" s="232"/>
      <c r="K206" s="251"/>
      <c r="L206" s="286"/>
      <c r="M206" s="498"/>
      <c r="N206" s="518"/>
      <c r="O206" s="288">
        <v>244</v>
      </c>
      <c r="P206" s="289">
        <v>223</v>
      </c>
      <c r="Q206" s="390"/>
      <c r="R206" s="207">
        <f>SUM(R207:R210)</f>
        <v>0</v>
      </c>
      <c r="S206" s="207">
        <f>SUM(S207:S210)</f>
        <v>0</v>
      </c>
      <c r="T206" s="207">
        <f>SUM(T207:T210)</f>
        <v>0</v>
      </c>
      <c r="U206" s="207">
        <f>SUM(U207:U210)</f>
        <v>0</v>
      </c>
      <c r="V206" s="207">
        <f>SUM(V207:V210)</f>
        <v>0</v>
      </c>
      <c r="AC206" s="414"/>
      <c r="AD206" s="471"/>
    </row>
    <row r="207" spans="1:30" ht="15.6" outlineLevel="1" x14ac:dyDescent="0.3">
      <c r="A207" s="264" t="s">
        <v>560</v>
      </c>
      <c r="B207" s="208">
        <f>$W$2</f>
        <v>2023</v>
      </c>
      <c r="C207" s="401"/>
      <c r="D207" s="292"/>
      <c r="E207" s="280" t="s">
        <v>594</v>
      </c>
      <c r="F207" s="280" t="s">
        <v>519</v>
      </c>
      <c r="G207" s="293">
        <v>39.24</v>
      </c>
      <c r="H207" s="208" t="s">
        <v>520</v>
      </c>
      <c r="I207" s="238"/>
      <c r="J207" s="298"/>
      <c r="K207" s="238"/>
      <c r="L207" s="238"/>
      <c r="M207" s="500"/>
      <c r="N207" s="528"/>
      <c r="O207" s="299"/>
      <c r="P207" s="300"/>
      <c r="Q207" s="384"/>
      <c r="R207" s="270">
        <f>SUM(S207,T207,U207,V207)</f>
        <v>0</v>
      </c>
      <c r="S207" s="270"/>
      <c r="T207" s="270"/>
      <c r="U207" s="270"/>
      <c r="V207" s="270"/>
    </row>
    <row r="208" spans="1:30" ht="15.6" outlineLevel="1" x14ac:dyDescent="0.3">
      <c r="A208" s="264" t="s">
        <v>586</v>
      </c>
      <c r="B208" s="208">
        <f>$W$1</f>
        <v>2024</v>
      </c>
      <c r="C208" s="401"/>
      <c r="D208" s="315"/>
      <c r="E208" s="280" t="s">
        <v>594</v>
      </c>
      <c r="F208" s="280" t="s">
        <v>519</v>
      </c>
      <c r="G208" s="293">
        <v>39.24</v>
      </c>
      <c r="H208" s="208" t="s">
        <v>520</v>
      </c>
      <c r="I208" s="238"/>
      <c r="J208" s="298"/>
      <c r="K208" s="238"/>
      <c r="L208" s="238"/>
      <c r="M208" s="500"/>
      <c r="N208" s="528"/>
      <c r="O208" s="299"/>
      <c r="P208" s="300"/>
      <c r="Q208" s="384"/>
      <c r="R208" s="270">
        <f>SUM(S208,T208,U208,V208)</f>
        <v>0</v>
      </c>
      <c r="S208" s="270"/>
      <c r="T208" s="270"/>
      <c r="U208" s="270"/>
      <c r="V208" s="270"/>
    </row>
    <row r="209" spans="1:30" ht="15.6" outlineLevel="1" x14ac:dyDescent="0.3">
      <c r="A209" s="264" t="s">
        <v>588</v>
      </c>
      <c r="B209" s="208">
        <f>$W$1</f>
        <v>2024</v>
      </c>
      <c r="C209" s="401"/>
      <c r="D209" s="400"/>
      <c r="E209" s="280" t="s">
        <v>594</v>
      </c>
      <c r="F209" s="280" t="s">
        <v>519</v>
      </c>
      <c r="G209" s="569">
        <v>39.24</v>
      </c>
      <c r="H209" s="208" t="s">
        <v>520</v>
      </c>
      <c r="I209" s="238"/>
      <c r="J209" s="298"/>
      <c r="K209" s="238"/>
      <c r="L209" s="238"/>
      <c r="M209" s="500"/>
      <c r="N209" s="528"/>
      <c r="O209" s="299"/>
      <c r="P209" s="300"/>
      <c r="Q209" s="384"/>
      <c r="R209" s="270">
        <f>SUM(S209,T209,U209,V209)</f>
        <v>0</v>
      </c>
      <c r="S209" s="270"/>
      <c r="T209" s="270"/>
      <c r="U209" s="270"/>
      <c r="V209" s="270"/>
    </row>
    <row r="210" spans="1:30" ht="15.6" outlineLevel="1" x14ac:dyDescent="0.3">
      <c r="A210" s="264" t="s">
        <v>560</v>
      </c>
      <c r="B210" s="208">
        <f>$W$1</f>
        <v>2024</v>
      </c>
      <c r="C210" s="401"/>
      <c r="D210" s="400"/>
      <c r="E210" s="280" t="s">
        <v>594</v>
      </c>
      <c r="F210" s="280" t="s">
        <v>519</v>
      </c>
      <c r="G210" s="569">
        <v>39.24</v>
      </c>
      <c r="H210" s="208" t="s">
        <v>520</v>
      </c>
      <c r="I210" s="238"/>
      <c r="J210" s="298"/>
      <c r="K210" s="238"/>
      <c r="L210" s="238"/>
      <c r="M210" s="500"/>
      <c r="N210" s="528"/>
      <c r="O210" s="299"/>
      <c r="P210" s="300"/>
      <c r="Q210" s="384"/>
      <c r="R210" s="270">
        <f>SUM(S210,T210,U210,V210)</f>
        <v>0</v>
      </c>
      <c r="S210" s="270"/>
      <c r="T210" s="270"/>
      <c r="U210" s="270"/>
      <c r="V210" s="270"/>
    </row>
    <row r="211" spans="1:30" s="45" customFormat="1" ht="16.2" outlineLevel="1" x14ac:dyDescent="0.35">
      <c r="A211" s="290" t="s">
        <v>539</v>
      </c>
      <c r="B211" s="291" t="s">
        <v>716</v>
      </c>
      <c r="C211" s="237"/>
      <c r="D211" s="238" t="s">
        <v>540</v>
      </c>
      <c r="E211" s="404"/>
      <c r="F211" s="259"/>
      <c r="G211" s="232"/>
      <c r="H211" s="260"/>
      <c r="I211" s="258"/>
      <c r="J211" s="232"/>
      <c r="K211" s="251"/>
      <c r="L211" s="286"/>
      <c r="M211" s="498"/>
      <c r="N211" s="518"/>
      <c r="O211" s="288">
        <v>244</v>
      </c>
      <c r="P211" s="289">
        <v>223</v>
      </c>
      <c r="Q211" s="390"/>
      <c r="R211" s="207">
        <f>SUM(R212:R215)</f>
        <v>0</v>
      </c>
      <c r="S211" s="207">
        <f>SUM(S212:S215)</f>
        <v>0</v>
      </c>
      <c r="T211" s="207">
        <f>SUM(T212:T215)</f>
        <v>0</v>
      </c>
      <c r="U211" s="207">
        <f>SUM(U212:U215)</f>
        <v>0</v>
      </c>
      <c r="V211" s="207">
        <f>SUM(V212:V215)</f>
        <v>0</v>
      </c>
      <c r="AC211" s="414"/>
      <c r="AD211" s="471"/>
    </row>
    <row r="212" spans="1:30" ht="15.6" outlineLevel="1" x14ac:dyDescent="0.3">
      <c r="A212" s="264" t="s">
        <v>560</v>
      </c>
      <c r="B212" s="208">
        <f>$W$2</f>
        <v>2023</v>
      </c>
      <c r="C212" s="237"/>
      <c r="D212" s="315"/>
      <c r="E212" s="280" t="s">
        <v>594</v>
      </c>
      <c r="F212" s="280" t="s">
        <v>519</v>
      </c>
      <c r="G212" s="293">
        <v>39.24</v>
      </c>
      <c r="H212" s="208" t="s">
        <v>520</v>
      </c>
      <c r="I212" s="238"/>
      <c r="J212" s="298"/>
      <c r="K212" s="238"/>
      <c r="L212" s="238"/>
      <c r="M212" s="500"/>
      <c r="N212" s="528"/>
      <c r="O212" s="299"/>
      <c r="P212" s="300"/>
      <c r="Q212" s="384"/>
      <c r="R212" s="270">
        <f>SUM(S212,T212,U212,V212)</f>
        <v>0</v>
      </c>
      <c r="S212" s="270"/>
      <c r="T212" s="270"/>
      <c r="U212" s="270"/>
      <c r="V212" s="270"/>
    </row>
    <row r="213" spans="1:30" ht="15.6" outlineLevel="1" x14ac:dyDescent="0.3">
      <c r="A213" s="264" t="s">
        <v>586</v>
      </c>
      <c r="B213" s="208">
        <f>$W$1</f>
        <v>2024</v>
      </c>
      <c r="C213" s="237"/>
      <c r="D213" s="315"/>
      <c r="E213" s="280" t="s">
        <v>594</v>
      </c>
      <c r="F213" s="280" t="s">
        <v>519</v>
      </c>
      <c r="G213" s="293">
        <v>39.24</v>
      </c>
      <c r="H213" s="208" t="s">
        <v>520</v>
      </c>
      <c r="I213" s="238"/>
      <c r="J213" s="298"/>
      <c r="K213" s="238"/>
      <c r="L213" s="238"/>
      <c r="M213" s="500"/>
      <c r="N213" s="528"/>
      <c r="O213" s="299"/>
      <c r="P213" s="300"/>
      <c r="Q213" s="384"/>
      <c r="R213" s="270">
        <f>SUM(S213,T213,U213,V213)</f>
        <v>0</v>
      </c>
      <c r="S213" s="270"/>
      <c r="T213" s="270"/>
      <c r="U213" s="270"/>
      <c r="V213" s="270"/>
    </row>
    <row r="214" spans="1:30" ht="15.6" outlineLevel="1" x14ac:dyDescent="0.3">
      <c r="A214" s="264" t="s">
        <v>588</v>
      </c>
      <c r="B214" s="208">
        <f>$W$1</f>
        <v>2024</v>
      </c>
      <c r="C214" s="237"/>
      <c r="D214" s="315"/>
      <c r="E214" s="280" t="s">
        <v>594</v>
      </c>
      <c r="F214" s="280" t="s">
        <v>519</v>
      </c>
      <c r="G214" s="569">
        <v>39.24</v>
      </c>
      <c r="H214" s="208" t="s">
        <v>520</v>
      </c>
      <c r="I214" s="238"/>
      <c r="J214" s="298"/>
      <c r="K214" s="238"/>
      <c r="L214" s="238"/>
      <c r="M214" s="500"/>
      <c r="N214" s="528"/>
      <c r="O214" s="299"/>
      <c r="P214" s="300"/>
      <c r="Q214" s="384"/>
      <c r="R214" s="270">
        <f>SUM(S214,T214,U214,V214)</f>
        <v>0</v>
      </c>
      <c r="S214" s="270"/>
      <c r="T214" s="270"/>
      <c r="U214" s="270"/>
      <c r="V214" s="270"/>
    </row>
    <row r="215" spans="1:30" ht="15.6" outlineLevel="1" x14ac:dyDescent="0.3">
      <c r="A215" s="264" t="s">
        <v>560</v>
      </c>
      <c r="B215" s="208">
        <f>$W$1</f>
        <v>2024</v>
      </c>
      <c r="C215" s="237"/>
      <c r="D215" s="315"/>
      <c r="E215" s="280" t="s">
        <v>594</v>
      </c>
      <c r="F215" s="280" t="s">
        <v>519</v>
      </c>
      <c r="G215" s="569">
        <v>39.24</v>
      </c>
      <c r="H215" s="208" t="s">
        <v>520</v>
      </c>
      <c r="I215" s="238"/>
      <c r="J215" s="298"/>
      <c r="K215" s="238"/>
      <c r="L215" s="238"/>
      <c r="M215" s="500"/>
      <c r="N215" s="528"/>
      <c r="O215" s="299"/>
      <c r="P215" s="300"/>
      <c r="Q215" s="384"/>
      <c r="R215" s="270">
        <f>SUM(S215,T215,U215,V215)</f>
        <v>0</v>
      </c>
      <c r="S215" s="270"/>
      <c r="T215" s="270"/>
      <c r="U215" s="270"/>
      <c r="V215" s="270"/>
    </row>
    <row r="216" spans="1:30" s="45" customFormat="1" ht="16.2" outlineLevel="1" x14ac:dyDescent="0.35">
      <c r="A216" s="290" t="s">
        <v>709</v>
      </c>
      <c r="B216" s="291">
        <f>B195</f>
        <v>0</v>
      </c>
      <c r="C216" s="237"/>
      <c r="D216" s="238" t="s">
        <v>540</v>
      </c>
      <c r="E216" s="239"/>
      <c r="F216" s="259"/>
      <c r="G216" s="232"/>
      <c r="H216" s="260"/>
      <c r="I216" s="258"/>
      <c r="J216" s="232"/>
      <c r="K216" s="251"/>
      <c r="L216" s="286"/>
      <c r="M216" s="498"/>
      <c r="N216" s="518"/>
      <c r="O216" s="288">
        <v>244</v>
      </c>
      <c r="P216" s="289">
        <v>223</v>
      </c>
      <c r="Q216" s="390"/>
      <c r="R216" s="207">
        <f>SUM(R217:R220)</f>
        <v>0</v>
      </c>
      <c r="S216" s="207">
        <f>SUM(S217:S220)</f>
        <v>0</v>
      </c>
      <c r="T216" s="207">
        <f>SUM(T217:T220)</f>
        <v>0</v>
      </c>
      <c r="U216" s="207">
        <f>SUM(U217:U220)</f>
        <v>0</v>
      </c>
      <c r="V216" s="207">
        <f>SUM(V217:V220)</f>
        <v>0</v>
      </c>
      <c r="AC216" s="414"/>
      <c r="AD216" s="471"/>
    </row>
    <row r="217" spans="1:30" ht="15.6" outlineLevel="1" x14ac:dyDescent="0.3">
      <c r="A217" s="264" t="s">
        <v>560</v>
      </c>
      <c r="B217" s="208">
        <f>$W$2</f>
        <v>2023</v>
      </c>
      <c r="C217" s="237"/>
      <c r="D217" s="292"/>
      <c r="E217" s="280" t="s">
        <v>594</v>
      </c>
      <c r="F217" s="280" t="s">
        <v>519</v>
      </c>
      <c r="G217" s="293">
        <v>39.24</v>
      </c>
      <c r="H217" s="208" t="s">
        <v>520</v>
      </c>
      <c r="I217" s="238"/>
      <c r="J217" s="298"/>
      <c r="K217" s="238"/>
      <c r="L217" s="238"/>
      <c r="M217" s="500"/>
      <c r="N217" s="528"/>
      <c r="O217" s="299"/>
      <c r="P217" s="300"/>
      <c r="Q217" s="384"/>
      <c r="R217" s="270">
        <f>SUM(S217,T217,U217,V217)</f>
        <v>0</v>
      </c>
      <c r="S217" s="270"/>
      <c r="T217" s="270"/>
      <c r="U217" s="270"/>
      <c r="V217" s="270"/>
    </row>
    <row r="218" spans="1:30" ht="15.6" outlineLevel="1" x14ac:dyDescent="0.3">
      <c r="A218" s="264" t="s">
        <v>586</v>
      </c>
      <c r="B218" s="208">
        <f>$W$1</f>
        <v>2024</v>
      </c>
      <c r="C218" s="237"/>
      <c r="D218" s="292"/>
      <c r="E218" s="280" t="s">
        <v>594</v>
      </c>
      <c r="F218" s="280" t="s">
        <v>519</v>
      </c>
      <c r="G218" s="293">
        <v>39.24</v>
      </c>
      <c r="H218" s="208" t="s">
        <v>520</v>
      </c>
      <c r="I218" s="238"/>
      <c r="J218" s="298"/>
      <c r="K218" s="238"/>
      <c r="L218" s="238"/>
      <c r="M218" s="500"/>
      <c r="N218" s="528"/>
      <c r="O218" s="299"/>
      <c r="P218" s="300"/>
      <c r="Q218" s="384"/>
      <c r="R218" s="270">
        <f>SUM(S218,T218,U218,V218)</f>
        <v>0</v>
      </c>
      <c r="S218" s="270"/>
      <c r="T218" s="270"/>
      <c r="U218" s="270"/>
      <c r="V218" s="270"/>
    </row>
    <row r="219" spans="1:30" ht="15.6" outlineLevel="1" x14ac:dyDescent="0.3">
      <c r="A219" s="264" t="s">
        <v>588</v>
      </c>
      <c r="B219" s="208">
        <f>$W$1</f>
        <v>2024</v>
      </c>
      <c r="C219" s="237"/>
      <c r="D219" s="400"/>
      <c r="E219" s="280" t="s">
        <v>594</v>
      </c>
      <c r="F219" s="280" t="s">
        <v>519</v>
      </c>
      <c r="G219" s="569">
        <v>39.24</v>
      </c>
      <c r="H219" s="208" t="s">
        <v>520</v>
      </c>
      <c r="I219" s="238"/>
      <c r="J219" s="298"/>
      <c r="K219" s="238"/>
      <c r="L219" s="238"/>
      <c r="M219" s="500"/>
      <c r="N219" s="528"/>
      <c r="O219" s="299"/>
      <c r="P219" s="300"/>
      <c r="Q219" s="384"/>
      <c r="R219" s="270">
        <f>SUM(S219,T219,U219,V219)</f>
        <v>0</v>
      </c>
      <c r="S219" s="270"/>
      <c r="T219" s="270"/>
      <c r="U219" s="270"/>
      <c r="V219" s="270"/>
    </row>
    <row r="220" spans="1:30" ht="15.6" outlineLevel="1" x14ac:dyDescent="0.3">
      <c r="A220" s="264" t="s">
        <v>560</v>
      </c>
      <c r="B220" s="208">
        <f>$W$1</f>
        <v>2024</v>
      </c>
      <c r="C220" s="237"/>
      <c r="D220" s="400"/>
      <c r="E220" s="280" t="s">
        <v>594</v>
      </c>
      <c r="F220" s="280" t="s">
        <v>519</v>
      </c>
      <c r="G220" s="569">
        <v>39.24</v>
      </c>
      <c r="H220" s="208" t="s">
        <v>520</v>
      </c>
      <c r="I220" s="238"/>
      <c r="J220" s="298"/>
      <c r="K220" s="238"/>
      <c r="L220" s="238"/>
      <c r="M220" s="500"/>
      <c r="N220" s="528"/>
      <c r="O220" s="299"/>
      <c r="P220" s="300"/>
      <c r="Q220" s="384"/>
      <c r="R220" s="270">
        <f>SUM(S220,T220,U220,V220)</f>
        <v>0</v>
      </c>
      <c r="S220" s="270"/>
      <c r="T220" s="270"/>
      <c r="U220" s="270"/>
      <c r="V220" s="270"/>
    </row>
    <row r="221" spans="1:30" s="45" customFormat="1" ht="16.2" x14ac:dyDescent="0.35">
      <c r="A221" s="240" t="s">
        <v>719</v>
      </c>
      <c r="B221" s="241"/>
      <c r="C221" s="241"/>
      <c r="D221" s="241"/>
      <c r="E221" s="286"/>
      <c r="F221" s="182"/>
      <c r="G221" s="275"/>
      <c r="H221" s="182"/>
      <c r="I221" s="260"/>
      <c r="J221" s="182"/>
      <c r="K221" s="251"/>
      <c r="L221" s="241"/>
      <c r="M221" s="499"/>
      <c r="N221" s="518" t="s">
        <v>270</v>
      </c>
      <c r="O221" s="296">
        <v>244</v>
      </c>
      <c r="P221" s="297">
        <v>223</v>
      </c>
      <c r="Q221" s="384"/>
      <c r="R221" s="207">
        <f>SUM(R222,R239,R231)</f>
        <v>0</v>
      </c>
      <c r="S221" s="215">
        <f>SUM(S222,S239,S231)</f>
        <v>0</v>
      </c>
      <c r="T221" s="207">
        <f>SUM(T222,T239,T231)</f>
        <v>0</v>
      </c>
      <c r="U221" s="207">
        <f>SUM(U222,U239,U231)</f>
        <v>0</v>
      </c>
      <c r="V221" s="207">
        <f>SUM(V222,V239,V231)</f>
        <v>0</v>
      </c>
      <c r="Y221" s="63"/>
      <c r="AC221" s="414"/>
      <c r="AD221" s="471"/>
    </row>
    <row r="222" spans="1:30" s="45" customFormat="1" ht="16.2" x14ac:dyDescent="0.35">
      <c r="A222" s="240" t="s">
        <v>579</v>
      </c>
      <c r="B222" s="241"/>
      <c r="C222" s="241"/>
      <c r="D222" s="241"/>
      <c r="E222" s="286"/>
      <c r="F222" s="182"/>
      <c r="G222" s="182"/>
      <c r="H222" s="182"/>
      <c r="I222" s="260"/>
      <c r="J222" s="182"/>
      <c r="K222" s="251"/>
      <c r="L222" s="241"/>
      <c r="M222" s="499"/>
      <c r="N222" s="518" t="s">
        <v>270</v>
      </c>
      <c r="O222" s="296"/>
      <c r="P222" s="297"/>
      <c r="Q222" s="384"/>
      <c r="R222" s="207">
        <f>SUM(R223,R227)</f>
        <v>0</v>
      </c>
      <c r="S222" s="207">
        <f>SUM(S223,S227)</f>
        <v>0</v>
      </c>
      <c r="T222" s="207">
        <f>SUM(T223,T227)</f>
        <v>0</v>
      </c>
      <c r="U222" s="207">
        <f>SUM(U223,U227)</f>
        <v>0</v>
      </c>
      <c r="V222" s="207">
        <f>SUM(V223,V227)</f>
        <v>0</v>
      </c>
      <c r="AC222" s="414"/>
      <c r="AD222" s="471"/>
    </row>
    <row r="223" spans="1:30" s="45" customFormat="1" ht="16.2" outlineLevel="1" x14ac:dyDescent="0.35">
      <c r="A223" s="290" t="s">
        <v>709</v>
      </c>
      <c r="B223" s="291"/>
      <c r="C223" s="237"/>
      <c r="D223" s="238" t="s">
        <v>540</v>
      </c>
      <c r="E223" s="404"/>
      <c r="F223" s="259"/>
      <c r="G223" s="232"/>
      <c r="H223" s="260"/>
      <c r="I223" s="258"/>
      <c r="J223" s="232"/>
      <c r="K223" s="251"/>
      <c r="L223" s="286"/>
      <c r="M223" s="498"/>
      <c r="N223" s="518"/>
      <c r="O223" s="288">
        <v>244</v>
      </c>
      <c r="P223" s="289">
        <v>223</v>
      </c>
      <c r="Q223" s="390"/>
      <c r="R223" s="207">
        <f>SUM(R224:R226)</f>
        <v>0</v>
      </c>
      <c r="S223" s="207">
        <f>SUM(S224:S226)</f>
        <v>0</v>
      </c>
      <c r="T223" s="207">
        <f>SUM(T224:T226)</f>
        <v>0</v>
      </c>
      <c r="U223" s="207">
        <f>SUM(U224:U226)</f>
        <v>0</v>
      </c>
      <c r="V223" s="207">
        <f>SUM(V224:V226)</f>
        <v>0</v>
      </c>
      <c r="AC223" s="414"/>
      <c r="AD223" s="471"/>
    </row>
    <row r="224" spans="1:30" ht="15.6" outlineLevel="1" x14ac:dyDescent="0.3">
      <c r="A224" s="264" t="s">
        <v>560</v>
      </c>
      <c r="B224" s="208">
        <f>$W$2</f>
        <v>2023</v>
      </c>
      <c r="C224" s="237"/>
      <c r="D224" s="237"/>
      <c r="E224" s="413"/>
      <c r="F224" s="280" t="s">
        <v>582</v>
      </c>
      <c r="G224" s="293" t="s">
        <v>850</v>
      </c>
      <c r="H224" s="208" t="s">
        <v>583</v>
      </c>
      <c r="I224" s="401"/>
      <c r="J224" s="238" t="s">
        <v>584</v>
      </c>
      <c r="K224" s="237">
        <v>14.26</v>
      </c>
      <c r="L224" s="208" t="s">
        <v>520</v>
      </c>
      <c r="M224" s="492"/>
      <c r="N224" s="527"/>
      <c r="O224" s="221"/>
      <c r="P224" s="220"/>
      <c r="Q224" s="381">
        <v>1</v>
      </c>
      <c r="R224" s="270">
        <f>SUM(S224,T224,U224,V224)</f>
        <v>0</v>
      </c>
      <c r="S224" s="270"/>
      <c r="T224" s="270"/>
      <c r="U224" s="270"/>
      <c r="V224" s="270"/>
    </row>
    <row r="225" spans="1:30" ht="15.6" outlineLevel="1" x14ac:dyDescent="0.3">
      <c r="A225" s="264" t="s">
        <v>586</v>
      </c>
      <c r="B225" s="208">
        <f>$W$1</f>
        <v>2024</v>
      </c>
      <c r="C225" s="237"/>
      <c r="D225" s="237"/>
      <c r="E225" s="413"/>
      <c r="F225" s="280" t="s">
        <v>582</v>
      </c>
      <c r="G225" s="293" t="s">
        <v>850</v>
      </c>
      <c r="H225" s="208" t="s">
        <v>583</v>
      </c>
      <c r="I225" s="401"/>
      <c r="J225" s="238" t="s">
        <v>584</v>
      </c>
      <c r="K225" s="237">
        <v>14.26</v>
      </c>
      <c r="L225" s="208" t="s">
        <v>520</v>
      </c>
      <c r="M225" s="492"/>
      <c r="N225" s="527"/>
      <c r="O225" s="221"/>
      <c r="P225" s="220"/>
      <c r="Q225" s="381">
        <v>6</v>
      </c>
      <c r="R225" s="270">
        <f>SUM(S225,T225,U225,V225)</f>
        <v>0</v>
      </c>
      <c r="S225" s="270"/>
      <c r="T225" s="270"/>
      <c r="U225" s="270"/>
      <c r="V225" s="270"/>
    </row>
    <row r="226" spans="1:30" ht="15.6" outlineLevel="1" x14ac:dyDescent="0.3">
      <c r="A226" s="264" t="s">
        <v>588</v>
      </c>
      <c r="B226" s="208">
        <f>$W$1</f>
        <v>2024</v>
      </c>
      <c r="C226" s="237"/>
      <c r="D226" s="237"/>
      <c r="E226" s="413"/>
      <c r="F226" s="280" t="s">
        <v>582</v>
      </c>
      <c r="G226" s="293" t="s">
        <v>850</v>
      </c>
      <c r="H226" s="208" t="s">
        <v>583</v>
      </c>
      <c r="I226" s="401"/>
      <c r="J226" s="238" t="s">
        <v>584</v>
      </c>
      <c r="K226" s="237">
        <v>14.26</v>
      </c>
      <c r="L226" s="208" t="s">
        <v>520</v>
      </c>
      <c r="M226" s="492"/>
      <c r="N226" s="527"/>
      <c r="O226" s="221"/>
      <c r="P226" s="220"/>
      <c r="Q226" s="381">
        <v>2</v>
      </c>
      <c r="R226" s="270">
        <f>SUM(S226,T226,U226,V226)</f>
        <v>0</v>
      </c>
      <c r="S226" s="270"/>
      <c r="T226" s="270"/>
      <c r="U226" s="270"/>
      <c r="V226" s="270"/>
    </row>
    <row r="227" spans="1:30" s="45" customFormat="1" ht="16.2" outlineLevel="1" x14ac:dyDescent="0.35">
      <c r="A227" s="290" t="s">
        <v>709</v>
      </c>
      <c r="B227" s="291"/>
      <c r="C227" s="237"/>
      <c r="D227" s="238" t="s">
        <v>540</v>
      </c>
      <c r="E227" s="404"/>
      <c r="F227" s="259"/>
      <c r="G227" s="232"/>
      <c r="H227" s="260"/>
      <c r="I227" s="258"/>
      <c r="J227" s="232"/>
      <c r="K227" s="250"/>
      <c r="L227" s="208"/>
      <c r="M227" s="492"/>
      <c r="N227" s="527"/>
      <c r="O227" s="288">
        <v>244</v>
      </c>
      <c r="P227" s="289">
        <v>223</v>
      </c>
      <c r="Q227" s="390"/>
      <c r="R227" s="207">
        <f>SUM(R228:R230)</f>
        <v>0</v>
      </c>
      <c r="S227" s="207">
        <f>SUM(S228:S230)</f>
        <v>0</v>
      </c>
      <c r="T227" s="207">
        <f>SUM(T228:T230)</f>
        <v>0</v>
      </c>
      <c r="U227" s="207">
        <f>SUM(U228:U230)</f>
        <v>0</v>
      </c>
      <c r="V227" s="207">
        <f>SUM(V228:V230)</f>
        <v>0</v>
      </c>
      <c r="AC227" s="414"/>
      <c r="AD227" s="471"/>
    </row>
    <row r="228" spans="1:30" ht="15.6" outlineLevel="1" x14ac:dyDescent="0.3">
      <c r="A228" s="264" t="s">
        <v>560</v>
      </c>
      <c r="B228" s="208">
        <f>$W$2</f>
        <v>2023</v>
      </c>
      <c r="C228" s="237"/>
      <c r="D228" s="237"/>
      <c r="E228" s="315"/>
      <c r="F228" s="280" t="s">
        <v>582</v>
      </c>
      <c r="G228" s="293"/>
      <c r="H228" s="208" t="s">
        <v>583</v>
      </c>
      <c r="I228" s="402"/>
      <c r="J228" s="238" t="s">
        <v>584</v>
      </c>
      <c r="K228" s="237"/>
      <c r="L228" s="208" t="s">
        <v>520</v>
      </c>
      <c r="M228" s="492"/>
      <c r="N228" s="527"/>
      <c r="O228" s="221"/>
      <c r="P228" s="220"/>
      <c r="Q228" s="381"/>
      <c r="R228" s="270">
        <f>SUM(S228,T228,U228,V228)</f>
        <v>0</v>
      </c>
      <c r="S228" s="270"/>
      <c r="T228" s="270"/>
      <c r="U228" s="270"/>
      <c r="V228" s="270"/>
    </row>
    <row r="229" spans="1:30" ht="15.6" outlineLevel="1" x14ac:dyDescent="0.3">
      <c r="A229" s="264" t="s">
        <v>586</v>
      </c>
      <c r="B229" s="208">
        <f>$W$1</f>
        <v>2024</v>
      </c>
      <c r="C229" s="237"/>
      <c r="D229" s="237"/>
      <c r="E229" s="315"/>
      <c r="F229" s="280" t="s">
        <v>582</v>
      </c>
      <c r="G229" s="293"/>
      <c r="H229" s="208" t="s">
        <v>583</v>
      </c>
      <c r="I229" s="402"/>
      <c r="J229" s="238" t="s">
        <v>584</v>
      </c>
      <c r="K229" s="237"/>
      <c r="L229" s="208" t="s">
        <v>520</v>
      </c>
      <c r="M229" s="492"/>
      <c r="N229" s="527"/>
      <c r="O229" s="221"/>
      <c r="P229" s="220"/>
      <c r="Q229" s="381"/>
      <c r="R229" s="270">
        <f>SUM(S229,T229,U229,V229)</f>
        <v>0</v>
      </c>
      <c r="S229" s="270"/>
      <c r="T229" s="270"/>
      <c r="U229" s="270"/>
      <c r="V229" s="270"/>
    </row>
    <row r="230" spans="1:30" ht="15.6" outlineLevel="1" x14ac:dyDescent="0.3">
      <c r="A230" s="264" t="s">
        <v>588</v>
      </c>
      <c r="B230" s="208">
        <f>$W$1</f>
        <v>2024</v>
      </c>
      <c r="C230" s="237"/>
      <c r="D230" s="237"/>
      <c r="E230" s="292"/>
      <c r="F230" s="280" t="s">
        <v>582</v>
      </c>
      <c r="G230" s="293"/>
      <c r="H230" s="208" t="s">
        <v>583</v>
      </c>
      <c r="I230" s="402"/>
      <c r="J230" s="238" t="s">
        <v>584</v>
      </c>
      <c r="K230" s="237"/>
      <c r="L230" s="208" t="s">
        <v>520</v>
      </c>
      <c r="M230" s="492"/>
      <c r="N230" s="527"/>
      <c r="O230" s="221"/>
      <c r="P230" s="220"/>
      <c r="Q230" s="381"/>
      <c r="R230" s="270">
        <f>SUM(S230,T230,U230,V230)</f>
        <v>0</v>
      </c>
      <c r="S230" s="270"/>
      <c r="T230" s="270"/>
      <c r="U230" s="270"/>
      <c r="V230" s="270"/>
    </row>
    <row r="231" spans="1:30" s="45" customFormat="1" ht="15.6" x14ac:dyDescent="0.3">
      <c r="A231" s="240" t="s">
        <v>590</v>
      </c>
      <c r="B231" s="241"/>
      <c r="C231" s="241"/>
      <c r="D231" s="241"/>
      <c r="E231" s="286"/>
      <c r="F231" s="182"/>
      <c r="G231" s="182"/>
      <c r="H231" s="182"/>
      <c r="I231" s="295"/>
      <c r="J231" s="287"/>
      <c r="K231" s="182"/>
      <c r="L231" s="241"/>
      <c r="M231" s="499"/>
      <c r="N231" s="518" t="s">
        <v>270</v>
      </c>
      <c r="O231" s="296">
        <v>244</v>
      </c>
      <c r="P231" s="297">
        <v>223</v>
      </c>
      <c r="Q231" s="384"/>
      <c r="R231" s="207">
        <f>SUM(R232,R236)</f>
        <v>0</v>
      </c>
      <c r="S231" s="207">
        <f>SUM(S232,S236)</f>
        <v>0</v>
      </c>
      <c r="T231" s="207">
        <f>SUM(T232,T236)</f>
        <v>0</v>
      </c>
      <c r="U231" s="207">
        <f>SUM(U232,U236)</f>
        <v>0</v>
      </c>
      <c r="V231" s="207">
        <f>SUM(V232,V236)</f>
        <v>0</v>
      </c>
      <c r="X231" s="56"/>
      <c r="Y231" s="56"/>
      <c r="AA231" s="405"/>
      <c r="AB231" s="406"/>
      <c r="AC231" s="414"/>
      <c r="AD231" s="471"/>
    </row>
    <row r="232" spans="1:30" s="45" customFormat="1" ht="16.2" outlineLevel="1" x14ac:dyDescent="0.35">
      <c r="A232" s="290" t="s">
        <v>709</v>
      </c>
      <c r="B232" s="291"/>
      <c r="C232" s="237"/>
      <c r="D232" s="238" t="s">
        <v>540</v>
      </c>
      <c r="E232" s="404"/>
      <c r="F232" s="259"/>
      <c r="G232" s="232"/>
      <c r="H232" s="260"/>
      <c r="I232" s="258"/>
      <c r="J232" s="232"/>
      <c r="K232" s="251"/>
      <c r="L232" s="286"/>
      <c r="M232" s="498"/>
      <c r="N232" s="518"/>
      <c r="O232" s="288">
        <v>244</v>
      </c>
      <c r="P232" s="289">
        <v>223</v>
      </c>
      <c r="Q232" s="390"/>
      <c r="R232" s="207">
        <f>SUM(R233:R235)</f>
        <v>0</v>
      </c>
      <c r="S232" s="207">
        <f>SUM(S233:S235)</f>
        <v>0</v>
      </c>
      <c r="T232" s="207">
        <f>SUM(T233:T235)</f>
        <v>0</v>
      </c>
      <c r="U232" s="207">
        <f>SUM(U233:U235)</f>
        <v>0</v>
      </c>
      <c r="V232" s="207">
        <f>SUM(V233:V235)</f>
        <v>0</v>
      </c>
      <c r="AC232" s="414"/>
      <c r="AD232" s="471"/>
    </row>
    <row r="233" spans="1:30" ht="15.6" outlineLevel="1" x14ac:dyDescent="0.3">
      <c r="A233" s="264" t="s">
        <v>560</v>
      </c>
      <c r="B233" s="208">
        <f>$W$2</f>
        <v>2023</v>
      </c>
      <c r="C233" s="237"/>
      <c r="D233" s="218"/>
      <c r="E233" s="280" t="s">
        <v>591</v>
      </c>
      <c r="F233" s="280" t="s">
        <v>519</v>
      </c>
      <c r="G233" s="293" t="s">
        <v>855</v>
      </c>
      <c r="H233" s="208" t="s">
        <v>520</v>
      </c>
      <c r="I233" s="298"/>
      <c r="J233" s="238"/>
      <c r="K233" s="250"/>
      <c r="L233" s="238"/>
      <c r="M233" s="500"/>
      <c r="N233" s="528"/>
      <c r="O233" s="299"/>
      <c r="P233" s="300"/>
      <c r="Q233" s="384">
        <v>1</v>
      </c>
      <c r="R233" s="270">
        <f>SUM(S233,T233,U233,V233)</f>
        <v>0</v>
      </c>
      <c r="S233" s="270"/>
      <c r="T233" s="270"/>
      <c r="U233" s="270"/>
      <c r="V233" s="270"/>
    </row>
    <row r="234" spans="1:30" ht="15.6" outlineLevel="1" x14ac:dyDescent="0.3">
      <c r="A234" s="264" t="s">
        <v>586</v>
      </c>
      <c r="B234" s="208">
        <f>$W$1</f>
        <v>2024</v>
      </c>
      <c r="C234" s="237"/>
      <c r="D234" s="218"/>
      <c r="E234" s="280" t="s">
        <v>591</v>
      </c>
      <c r="F234" s="280" t="s">
        <v>519</v>
      </c>
      <c r="G234" s="293" t="s">
        <v>855</v>
      </c>
      <c r="H234" s="208" t="s">
        <v>520</v>
      </c>
      <c r="I234" s="298"/>
      <c r="J234" s="238"/>
      <c r="K234" s="250"/>
      <c r="L234" s="238"/>
      <c r="M234" s="500"/>
      <c r="N234" s="528"/>
      <c r="O234" s="299"/>
      <c r="P234" s="300"/>
      <c r="Q234" s="384">
        <v>6</v>
      </c>
      <c r="R234" s="270">
        <f>SUM(S234,T234,U234,V234)</f>
        <v>0</v>
      </c>
      <c r="S234" s="270"/>
      <c r="T234" s="270"/>
      <c r="U234" s="270"/>
      <c r="V234" s="270"/>
    </row>
    <row r="235" spans="1:30" ht="15.6" outlineLevel="1" x14ac:dyDescent="0.3">
      <c r="A235" s="264" t="s">
        <v>588</v>
      </c>
      <c r="B235" s="208">
        <f>$W$1</f>
        <v>2024</v>
      </c>
      <c r="C235" s="237"/>
      <c r="D235" s="218"/>
      <c r="E235" s="280" t="s">
        <v>591</v>
      </c>
      <c r="F235" s="280" t="s">
        <v>519</v>
      </c>
      <c r="G235" s="293" t="s">
        <v>855</v>
      </c>
      <c r="H235" s="208" t="s">
        <v>520</v>
      </c>
      <c r="I235" s="298"/>
      <c r="J235" s="238"/>
      <c r="K235" s="250"/>
      <c r="L235" s="238"/>
      <c r="M235" s="500"/>
      <c r="N235" s="528"/>
      <c r="O235" s="299"/>
      <c r="P235" s="300"/>
      <c r="Q235" s="384">
        <v>2</v>
      </c>
      <c r="R235" s="270">
        <f>SUM(S235,T235,U235,V235)</f>
        <v>0</v>
      </c>
      <c r="S235" s="270"/>
      <c r="T235" s="270"/>
      <c r="U235" s="270"/>
      <c r="V235" s="270"/>
    </row>
    <row r="236" spans="1:30" s="45" customFormat="1" ht="16.2" outlineLevel="1" x14ac:dyDescent="0.35">
      <c r="A236" s="290" t="s">
        <v>709</v>
      </c>
      <c r="B236" s="291"/>
      <c r="C236" s="237"/>
      <c r="D236" s="238" t="s">
        <v>540</v>
      </c>
      <c r="E236" s="404"/>
      <c r="F236" s="259"/>
      <c r="G236" s="232"/>
      <c r="H236" s="260"/>
      <c r="I236" s="258"/>
      <c r="J236" s="232"/>
      <c r="K236" s="251"/>
      <c r="L236" s="286"/>
      <c r="M236" s="498"/>
      <c r="N236" s="518"/>
      <c r="O236" s="288">
        <v>244</v>
      </c>
      <c r="P236" s="289">
        <v>223</v>
      </c>
      <c r="Q236" s="390"/>
      <c r="R236" s="207">
        <f>SUM(R237:R238)</f>
        <v>0</v>
      </c>
      <c r="S236" s="207">
        <f>SUM(S237:S238)</f>
        <v>0</v>
      </c>
      <c r="T236" s="207">
        <f>SUM(T237:T238)</f>
        <v>0</v>
      </c>
      <c r="U236" s="207">
        <f>SUM(U237:U238)</f>
        <v>0</v>
      </c>
      <c r="V236" s="207">
        <f>SUM(V237:V238)</f>
        <v>0</v>
      </c>
      <c r="AC236" s="414"/>
      <c r="AD236" s="471"/>
    </row>
    <row r="237" spans="1:30" ht="15.6" outlineLevel="1" x14ac:dyDescent="0.3">
      <c r="A237" s="264" t="s">
        <v>560</v>
      </c>
      <c r="B237" s="208">
        <f>$W$2</f>
        <v>2023</v>
      </c>
      <c r="C237" s="237"/>
      <c r="D237" s="218"/>
      <c r="E237" s="280" t="s">
        <v>591</v>
      </c>
      <c r="F237" s="280" t="s">
        <v>519</v>
      </c>
      <c r="G237" s="293"/>
      <c r="H237" s="208" t="s">
        <v>520</v>
      </c>
      <c r="I237" s="298"/>
      <c r="J237" s="238"/>
      <c r="K237" s="250"/>
      <c r="L237" s="238"/>
      <c r="M237" s="500"/>
      <c r="N237" s="528"/>
      <c r="O237" s="299"/>
      <c r="P237" s="300"/>
      <c r="Q237" s="384"/>
      <c r="R237" s="270">
        <f>SUM(S237,T237,U237,V237)</f>
        <v>0</v>
      </c>
      <c r="S237" s="270"/>
      <c r="T237" s="270"/>
      <c r="U237" s="270"/>
      <c r="V237" s="270"/>
    </row>
    <row r="238" spans="1:30" ht="15.6" outlineLevel="1" x14ac:dyDescent="0.3">
      <c r="A238" s="264" t="s">
        <v>715</v>
      </c>
      <c r="B238" s="208">
        <f>$W$1</f>
        <v>2024</v>
      </c>
      <c r="C238" s="237"/>
      <c r="D238" s="218"/>
      <c r="E238" s="280" t="s">
        <v>591</v>
      </c>
      <c r="F238" s="280" t="s">
        <v>519</v>
      </c>
      <c r="G238" s="293"/>
      <c r="H238" s="208" t="s">
        <v>520</v>
      </c>
      <c r="I238" s="298"/>
      <c r="J238" s="238"/>
      <c r="K238" s="250"/>
      <c r="L238" s="238"/>
      <c r="M238" s="500"/>
      <c r="N238" s="528"/>
      <c r="O238" s="299"/>
      <c r="P238" s="300"/>
      <c r="Q238" s="384"/>
      <c r="R238" s="270">
        <f>SUM(S238,T238,U238,V238)</f>
        <v>0</v>
      </c>
      <c r="S238" s="270"/>
      <c r="T238" s="270"/>
      <c r="U238" s="270"/>
      <c r="V238" s="270"/>
    </row>
    <row r="239" spans="1:30" s="45" customFormat="1" ht="16.2" x14ac:dyDescent="0.35">
      <c r="A239" s="240" t="s">
        <v>718</v>
      </c>
      <c r="B239" s="217"/>
      <c r="C239" s="217"/>
      <c r="D239" s="217"/>
      <c r="E239" s="217"/>
      <c r="F239" s="258"/>
      <c r="G239" s="258"/>
      <c r="H239" s="258"/>
      <c r="I239" s="260"/>
      <c r="J239" s="182"/>
      <c r="K239" s="251"/>
      <c r="L239" s="241"/>
      <c r="M239" s="499"/>
      <c r="N239" s="518" t="s">
        <v>270</v>
      </c>
      <c r="O239" s="296"/>
      <c r="P239" s="297"/>
      <c r="Q239" s="384"/>
      <c r="R239" s="207">
        <f>SUM(R240,R244)</f>
        <v>0</v>
      </c>
      <c r="S239" s="207">
        <f>SUM(S240,S244)</f>
        <v>0</v>
      </c>
      <c r="T239" s="207">
        <f>SUM(T240,T244)</f>
        <v>0</v>
      </c>
      <c r="U239" s="207">
        <f>SUM(U240,U244)</f>
        <v>0</v>
      </c>
      <c r="V239" s="207">
        <f>SUM(V240,V244)</f>
        <v>0</v>
      </c>
      <c r="AC239" s="414"/>
      <c r="AD239" s="471"/>
    </row>
    <row r="240" spans="1:30" s="45" customFormat="1" ht="16.2" outlineLevel="1" x14ac:dyDescent="0.35">
      <c r="A240" s="290" t="s">
        <v>709</v>
      </c>
      <c r="B240" s="291"/>
      <c r="C240" s="237"/>
      <c r="D240" s="238" t="s">
        <v>540</v>
      </c>
      <c r="E240" s="404"/>
      <c r="F240" s="259"/>
      <c r="G240" s="232"/>
      <c r="H240" s="260"/>
      <c r="I240" s="258"/>
      <c r="J240" s="232"/>
      <c r="K240" s="410"/>
      <c r="L240" s="286"/>
      <c r="M240" s="498"/>
      <c r="N240" s="518"/>
      <c r="O240" s="288">
        <v>244</v>
      </c>
      <c r="P240" s="289">
        <v>223</v>
      </c>
      <c r="Q240" s="390"/>
      <c r="R240" s="207">
        <f>SUM(R241:R243)</f>
        <v>0</v>
      </c>
      <c r="S240" s="207">
        <f>SUM(S241:S243)</f>
        <v>0</v>
      </c>
      <c r="T240" s="207">
        <f>SUM(T241:T243)</f>
        <v>0</v>
      </c>
      <c r="U240" s="207">
        <f>SUM(U241:U243)</f>
        <v>0</v>
      </c>
      <c r="V240" s="207">
        <f>SUM(V241:V243)</f>
        <v>0</v>
      </c>
      <c r="AC240" s="414"/>
      <c r="AD240" s="471"/>
    </row>
    <row r="241" spans="1:30" ht="15.6" outlineLevel="1" x14ac:dyDescent="0.3">
      <c r="A241" s="264" t="s">
        <v>560</v>
      </c>
      <c r="B241" s="208">
        <f>$W$2</f>
        <v>2023</v>
      </c>
      <c r="C241" s="237"/>
      <c r="D241" s="292"/>
      <c r="E241" s="280" t="s">
        <v>594</v>
      </c>
      <c r="F241" s="280" t="s">
        <v>519</v>
      </c>
      <c r="G241" s="293" t="s">
        <v>849</v>
      </c>
      <c r="H241" s="208" t="s">
        <v>520</v>
      </c>
      <c r="I241" s="411"/>
      <c r="J241" s="238"/>
      <c r="K241" s="238"/>
      <c r="L241" s="208"/>
      <c r="M241" s="492"/>
      <c r="N241" s="527"/>
      <c r="O241" s="221"/>
      <c r="P241" s="220"/>
      <c r="Q241" s="381">
        <v>1</v>
      </c>
      <c r="R241" s="270">
        <f>SUM(S241,T241,U241,V241)</f>
        <v>0</v>
      </c>
      <c r="S241" s="270"/>
      <c r="T241" s="270"/>
      <c r="U241" s="270"/>
      <c r="V241" s="270"/>
    </row>
    <row r="242" spans="1:30" ht="15.6" outlineLevel="1" x14ac:dyDescent="0.3">
      <c r="A242" s="264" t="s">
        <v>586</v>
      </c>
      <c r="B242" s="208">
        <f>$W$1</f>
        <v>2024</v>
      </c>
      <c r="C242" s="237"/>
      <c r="D242" s="292"/>
      <c r="E242" s="280" t="s">
        <v>594</v>
      </c>
      <c r="F242" s="280" t="s">
        <v>519</v>
      </c>
      <c r="G242" s="293" t="s">
        <v>849</v>
      </c>
      <c r="H242" s="208" t="s">
        <v>520</v>
      </c>
      <c r="I242" s="411"/>
      <c r="J242" s="238"/>
      <c r="K242" s="238"/>
      <c r="L242" s="208"/>
      <c r="M242" s="492"/>
      <c r="N242" s="527"/>
      <c r="O242" s="221"/>
      <c r="P242" s="220"/>
      <c r="Q242" s="381">
        <v>6</v>
      </c>
      <c r="R242" s="270">
        <f>SUM(S242,T242,U242,V242)</f>
        <v>0</v>
      </c>
      <c r="S242" s="270"/>
      <c r="T242" s="270"/>
      <c r="U242" s="270"/>
      <c r="V242" s="270"/>
    </row>
    <row r="243" spans="1:30" ht="15.6" outlineLevel="1" x14ac:dyDescent="0.3">
      <c r="A243" s="264" t="s">
        <v>588</v>
      </c>
      <c r="B243" s="208">
        <f>$W$1</f>
        <v>2024</v>
      </c>
      <c r="C243" s="237"/>
      <c r="D243" s="292"/>
      <c r="E243" s="280" t="s">
        <v>594</v>
      </c>
      <c r="F243" s="280" t="s">
        <v>519</v>
      </c>
      <c r="G243" s="293" t="s">
        <v>849</v>
      </c>
      <c r="H243" s="208" t="s">
        <v>520</v>
      </c>
      <c r="I243" s="411"/>
      <c r="J243" s="238"/>
      <c r="K243" s="238"/>
      <c r="L243" s="208"/>
      <c r="M243" s="492"/>
      <c r="N243" s="527"/>
      <c r="O243" s="221"/>
      <c r="P243" s="220"/>
      <c r="Q243" s="381">
        <v>2</v>
      </c>
      <c r="R243" s="270">
        <f>SUM(S243,T243,U243,V243)</f>
        <v>0</v>
      </c>
      <c r="S243" s="270"/>
      <c r="T243" s="270"/>
      <c r="U243" s="270"/>
      <c r="V243" s="270"/>
    </row>
    <row r="244" spans="1:30" s="45" customFormat="1" ht="16.2" outlineLevel="1" x14ac:dyDescent="0.35">
      <c r="A244" s="290" t="s">
        <v>709</v>
      </c>
      <c r="B244" s="291"/>
      <c r="C244" s="237"/>
      <c r="D244" s="238" t="s">
        <v>540</v>
      </c>
      <c r="E244" s="404"/>
      <c r="F244" s="259"/>
      <c r="G244" s="232"/>
      <c r="H244" s="260"/>
      <c r="I244" s="258"/>
      <c r="J244" s="232"/>
      <c r="K244" s="295"/>
      <c r="L244" s="208"/>
      <c r="M244" s="492"/>
      <c r="N244" s="527"/>
      <c r="O244" s="288">
        <v>244</v>
      </c>
      <c r="P244" s="289">
        <v>223</v>
      </c>
      <c r="Q244" s="390"/>
      <c r="R244" s="207">
        <f>SUM(R245:R247)</f>
        <v>0</v>
      </c>
      <c r="S244" s="207">
        <f>SUM(S245:S247)</f>
        <v>0</v>
      </c>
      <c r="T244" s="207">
        <f>SUM(T245:T247)</f>
        <v>0</v>
      </c>
      <c r="U244" s="207">
        <f>SUM(U245:U247)</f>
        <v>0</v>
      </c>
      <c r="V244" s="207">
        <f>SUM(V245:V247)</f>
        <v>0</v>
      </c>
      <c r="AC244" s="414"/>
      <c r="AD244" s="471"/>
    </row>
    <row r="245" spans="1:30" ht="15.6" outlineLevel="1" x14ac:dyDescent="0.3">
      <c r="A245" s="264" t="s">
        <v>560</v>
      </c>
      <c r="B245" s="208">
        <f>$W$2</f>
        <v>2023</v>
      </c>
      <c r="C245" s="237"/>
      <c r="D245" s="292"/>
      <c r="E245" s="280" t="s">
        <v>594</v>
      </c>
      <c r="F245" s="280" t="s">
        <v>519</v>
      </c>
      <c r="G245" s="293" t="s">
        <v>856</v>
      </c>
      <c r="H245" s="208" t="s">
        <v>520</v>
      </c>
      <c r="I245" s="412"/>
      <c r="J245" s="238"/>
      <c r="K245" s="238"/>
      <c r="L245" s="208"/>
      <c r="M245" s="492"/>
      <c r="N245" s="527"/>
      <c r="O245" s="221"/>
      <c r="P245" s="220"/>
      <c r="Q245" s="381">
        <v>1</v>
      </c>
      <c r="R245" s="270">
        <f>SUM(S245,T245,U245,V245)</f>
        <v>0</v>
      </c>
      <c r="S245" s="270"/>
      <c r="T245" s="270"/>
      <c r="U245" s="270"/>
      <c r="V245" s="270"/>
    </row>
    <row r="246" spans="1:30" ht="15.6" outlineLevel="1" x14ac:dyDescent="0.3">
      <c r="A246" s="264" t="s">
        <v>586</v>
      </c>
      <c r="B246" s="208">
        <f>$W$1</f>
        <v>2024</v>
      </c>
      <c r="C246" s="237"/>
      <c r="D246" s="292"/>
      <c r="E246" s="280" t="s">
        <v>594</v>
      </c>
      <c r="F246" s="280" t="s">
        <v>519</v>
      </c>
      <c r="G246" s="293" t="s">
        <v>856</v>
      </c>
      <c r="H246" s="208" t="s">
        <v>520</v>
      </c>
      <c r="I246" s="412"/>
      <c r="J246" s="238"/>
      <c r="K246" s="238"/>
      <c r="L246" s="208"/>
      <c r="M246" s="492"/>
      <c r="N246" s="527"/>
      <c r="O246" s="221"/>
      <c r="P246" s="220"/>
      <c r="Q246" s="381">
        <v>6</v>
      </c>
      <c r="R246" s="270">
        <f>SUM(S246,T246,U246,V246)</f>
        <v>0</v>
      </c>
      <c r="S246" s="270"/>
      <c r="T246" s="270"/>
      <c r="U246" s="270"/>
      <c r="V246" s="270"/>
    </row>
    <row r="247" spans="1:30" ht="15.6" outlineLevel="1" x14ac:dyDescent="0.3">
      <c r="A247" s="264" t="s">
        <v>588</v>
      </c>
      <c r="B247" s="208">
        <f>$W$1</f>
        <v>2024</v>
      </c>
      <c r="C247" s="237"/>
      <c r="D247" s="292"/>
      <c r="E247" s="280" t="s">
        <v>594</v>
      </c>
      <c r="F247" s="280" t="s">
        <v>519</v>
      </c>
      <c r="G247" s="293" t="s">
        <v>856</v>
      </c>
      <c r="H247" s="208" t="s">
        <v>520</v>
      </c>
      <c r="I247" s="412"/>
      <c r="J247" s="238"/>
      <c r="K247" s="238"/>
      <c r="L247" s="208"/>
      <c r="M247" s="492"/>
      <c r="N247" s="527"/>
      <c r="O247" s="221"/>
      <c r="P247" s="220"/>
      <c r="Q247" s="381">
        <v>2</v>
      </c>
      <c r="R247" s="270">
        <f>SUM(S247,T247,U247,V247)</f>
        <v>0</v>
      </c>
      <c r="S247" s="270"/>
      <c r="T247" s="270"/>
      <c r="U247" s="270"/>
      <c r="V247" s="270"/>
    </row>
    <row r="248" spans="1:30" s="45" customFormat="1" ht="15.6" x14ac:dyDescent="0.3">
      <c r="A248" s="274" t="s">
        <v>523</v>
      </c>
      <c r="B248" s="182"/>
      <c r="C248" s="281"/>
      <c r="D248" s="182"/>
      <c r="E248" s="182"/>
      <c r="F248" s="182"/>
      <c r="G248" s="275"/>
      <c r="H248" s="182"/>
      <c r="I248" s="182"/>
      <c r="J248" s="182"/>
      <c r="K248" s="182"/>
      <c r="L248" s="182"/>
      <c r="M248" s="490"/>
      <c r="N248" s="532"/>
      <c r="O248" s="206">
        <v>244</v>
      </c>
      <c r="P248" s="205">
        <v>223</v>
      </c>
      <c r="Q248" s="383"/>
      <c r="R248" s="207">
        <f>SUM(S248,T248,U248,V248)</f>
        <v>0</v>
      </c>
      <c r="S248" s="207"/>
      <c r="T248" s="207"/>
      <c r="U248" s="207"/>
      <c r="V248" s="207"/>
      <c r="AC248" s="414"/>
      <c r="AD248" s="471"/>
    </row>
    <row r="249" spans="1:30" s="314" customFormat="1" ht="18" x14ac:dyDescent="0.35">
      <c r="A249" s="305" t="s">
        <v>596</v>
      </c>
      <c r="B249" s="306"/>
      <c r="C249" s="306"/>
      <c r="D249" s="306"/>
      <c r="E249" s="306"/>
      <c r="F249" s="307"/>
      <c r="G249" s="308"/>
      <c r="H249" s="309"/>
      <c r="I249" s="310"/>
      <c r="J249" s="308"/>
      <c r="K249" s="306"/>
      <c r="L249" s="306"/>
      <c r="M249" s="505"/>
      <c r="N249" s="534" t="s">
        <v>249</v>
      </c>
      <c r="O249" s="311">
        <v>244</v>
      </c>
      <c r="P249" s="312">
        <v>224</v>
      </c>
      <c r="Q249" s="391"/>
      <c r="R249" s="313">
        <f>SUM(R250:R253)</f>
        <v>0</v>
      </c>
      <c r="S249" s="313">
        <f>SUM(S250:S253)</f>
        <v>0</v>
      </c>
      <c r="T249" s="313">
        <f>SUM(T250:T253)</f>
        <v>0</v>
      </c>
      <c r="U249" s="313">
        <f>SUM(U250:U253)</f>
        <v>0</v>
      </c>
      <c r="V249" s="313">
        <f>SUM(V250:V253)</f>
        <v>0</v>
      </c>
      <c r="W249" s="314" t="s">
        <v>597</v>
      </c>
      <c r="AC249" s="474"/>
      <c r="AD249" s="475"/>
    </row>
    <row r="250" spans="1:30" s="189" customFormat="1" ht="16.2" outlineLevel="1" x14ac:dyDescent="0.35">
      <c r="A250" s="240" t="s">
        <v>689</v>
      </c>
      <c r="B250" s="241"/>
      <c r="C250" s="241"/>
      <c r="D250" s="237"/>
      <c r="E250" s="280" t="s">
        <v>574</v>
      </c>
      <c r="F250" s="280" t="s">
        <v>519</v>
      </c>
      <c r="G250" s="293" t="s">
        <v>809</v>
      </c>
      <c r="H250" s="208" t="s">
        <v>520</v>
      </c>
      <c r="I250" s="258"/>
      <c r="J250" s="232"/>
      <c r="K250" s="241"/>
      <c r="L250" s="241"/>
      <c r="M250" s="499"/>
      <c r="N250" s="518"/>
      <c r="O250" s="299">
        <v>244</v>
      </c>
      <c r="P250" s="300">
        <v>224</v>
      </c>
      <c r="Q250" s="384"/>
      <c r="R250" s="270">
        <f>SUM(S250,T250,U250,V250)</f>
        <v>0</v>
      </c>
      <c r="S250" s="347"/>
      <c r="T250" s="215"/>
      <c r="U250" s="215"/>
      <c r="V250" s="215"/>
      <c r="AC250" s="469"/>
      <c r="AD250" s="470"/>
    </row>
    <row r="251" spans="1:30" s="189" customFormat="1" ht="15.6" outlineLevel="1" x14ac:dyDescent="0.3">
      <c r="A251" s="240" t="s">
        <v>689</v>
      </c>
      <c r="B251" s="241"/>
      <c r="C251" s="241"/>
      <c r="D251" s="237"/>
      <c r="E251" s="280" t="s">
        <v>574</v>
      </c>
      <c r="F251" s="280" t="s">
        <v>519</v>
      </c>
      <c r="G251" s="293" t="s">
        <v>809</v>
      </c>
      <c r="H251" s="208" t="s">
        <v>520</v>
      </c>
      <c r="I251" s="280"/>
      <c r="J251" s="208"/>
      <c r="K251" s="280"/>
      <c r="L251" s="208"/>
      <c r="M251" s="499"/>
      <c r="N251" s="518"/>
      <c r="O251" s="299">
        <v>244</v>
      </c>
      <c r="P251" s="300">
        <v>224</v>
      </c>
      <c r="Q251" s="384">
        <v>9</v>
      </c>
      <c r="R251" s="270">
        <f>SUM(S251,T251,U251,V251)</f>
        <v>0</v>
      </c>
      <c r="S251" s="347"/>
      <c r="T251" s="215"/>
      <c r="U251" s="215"/>
      <c r="V251" s="215"/>
      <c r="AC251" s="469"/>
      <c r="AD251" s="470"/>
    </row>
    <row r="252" spans="1:30" s="314" customFormat="1" ht="18" outlineLevel="1" x14ac:dyDescent="0.35">
      <c r="A252" s="240" t="s">
        <v>689</v>
      </c>
      <c r="B252" s="306"/>
      <c r="C252" s="306"/>
      <c r="D252" s="237"/>
      <c r="E252" s="280" t="s">
        <v>574</v>
      </c>
      <c r="F252" s="280" t="s">
        <v>519</v>
      </c>
      <c r="G252" s="293" t="s">
        <v>809</v>
      </c>
      <c r="H252" s="208" t="s">
        <v>520</v>
      </c>
      <c r="I252" s="280"/>
      <c r="J252" s="208"/>
      <c r="K252" s="306"/>
      <c r="L252" s="306"/>
      <c r="M252" s="505"/>
      <c r="N252" s="534"/>
      <c r="O252" s="299">
        <v>244</v>
      </c>
      <c r="P252" s="300">
        <v>224</v>
      </c>
      <c r="Q252" s="384">
        <v>9</v>
      </c>
      <c r="R252" s="270">
        <f>SUM(S252,T252,U252,V252)</f>
        <v>0</v>
      </c>
      <c r="S252" s="347"/>
      <c r="T252" s="215"/>
      <c r="U252" s="215"/>
      <c r="V252" s="215"/>
      <c r="AC252" s="474"/>
      <c r="AD252" s="475"/>
    </row>
    <row r="253" spans="1:30" s="314" customFormat="1" ht="18" outlineLevel="1" x14ac:dyDescent="0.35">
      <c r="A253" s="240" t="s">
        <v>689</v>
      </c>
      <c r="B253" s="306"/>
      <c r="C253" s="306"/>
      <c r="D253" s="237"/>
      <c r="E253" s="280" t="s">
        <v>574</v>
      </c>
      <c r="F253" s="280" t="s">
        <v>519</v>
      </c>
      <c r="G253" s="293" t="s">
        <v>809</v>
      </c>
      <c r="H253" s="208" t="s">
        <v>520</v>
      </c>
      <c r="I253" s="280"/>
      <c r="J253" s="208"/>
      <c r="K253" s="306"/>
      <c r="L253" s="306"/>
      <c r="M253" s="505"/>
      <c r="N253" s="534"/>
      <c r="O253" s="299">
        <v>244</v>
      </c>
      <c r="P253" s="300">
        <v>224</v>
      </c>
      <c r="Q253" s="384"/>
      <c r="R253" s="270">
        <f>SUM(S253,T253,U253,V253)</f>
        <v>0</v>
      </c>
      <c r="S253" s="215"/>
      <c r="T253" s="215"/>
      <c r="U253" s="215"/>
      <c r="V253" s="215"/>
      <c r="AC253" s="474"/>
      <c r="AD253" s="475"/>
    </row>
    <row r="254" spans="1:30" s="447" customFormat="1" ht="15.6" x14ac:dyDescent="0.3">
      <c r="A254" s="240" t="s">
        <v>598</v>
      </c>
      <c r="B254" s="241"/>
      <c r="C254" s="241"/>
      <c r="D254" s="241"/>
      <c r="E254" s="286"/>
      <c r="F254" s="286"/>
      <c r="G254" s="286"/>
      <c r="H254" s="241"/>
      <c r="I254" s="241"/>
      <c r="J254" s="301"/>
      <c r="K254" s="241"/>
      <c r="L254" s="241"/>
      <c r="M254" s="499"/>
      <c r="N254" s="518"/>
      <c r="O254" s="296">
        <v>244</v>
      </c>
      <c r="P254" s="297">
        <v>225</v>
      </c>
      <c r="Q254" s="384"/>
      <c r="R254" s="215">
        <f>SUM(R255,R291,R295,R308,R310,R314,R318,R329,R331,R335,R341,R343,R345,R367,R374,R376,R281,R290,R347,R370,R349,R359,R361,R272,R333)</f>
        <v>0</v>
      </c>
      <c r="S254" s="215">
        <f>SUM(S255,S291,S295,S308,S310,S314,S318,S329,S331,S335,S341,S343,S345,S367,S374,S376,S281,S290,S347,S370,S349,S359,S361,S272,S333)</f>
        <v>0</v>
      </c>
      <c r="T254" s="215">
        <f>SUM(T255,T291,T295,T308,T310,T314,T318,T329,T331,T335,T341,T343,T345,T367,T374,T376,T281,T290,T347,T370,T349,T359,T361,T272,T333)</f>
        <v>0</v>
      </c>
      <c r="U254" s="215">
        <f>SUM(U255,U291,U295,U308,U310,U314,U318,U329,U331,U335,U341,U343,U345,U367,U374,U376,U281,U290,U347,U370,U349,U359,U361,U272,U333)</f>
        <v>0</v>
      </c>
      <c r="V254" s="215">
        <f>SUM(V255,V291,V295,V308,V310,V314,V318,V329,V331,V335,V341,V343,V345,V367,V374,V376,V281,V290,V347,V370,V349,V359,V361,V272,V333)</f>
        <v>0</v>
      </c>
      <c r="W254" s="72" t="s">
        <v>599</v>
      </c>
      <c r="Y254" s="448"/>
      <c r="AC254" s="476"/>
      <c r="AD254" s="476"/>
    </row>
    <row r="255" spans="1:30" s="45" customFormat="1" ht="16.2" x14ac:dyDescent="0.35">
      <c r="A255" s="231" t="s">
        <v>688</v>
      </c>
      <c r="B255" s="241"/>
      <c r="C255" s="241"/>
      <c r="D255" s="241"/>
      <c r="E255" s="286"/>
      <c r="F255" s="259"/>
      <c r="G255" s="232"/>
      <c r="H255" s="260"/>
      <c r="I255" s="258"/>
      <c r="J255" s="232"/>
      <c r="K255" s="251"/>
      <c r="L255" s="241"/>
      <c r="M255" s="499"/>
      <c r="N255" s="518" t="s">
        <v>249</v>
      </c>
      <c r="O255" s="296">
        <v>244</v>
      </c>
      <c r="P255" s="297">
        <v>225</v>
      </c>
      <c r="Q255" s="384"/>
      <c r="R255" s="263">
        <f>SUM(R256,R260,R264,R268)</f>
        <v>0</v>
      </c>
      <c r="S255" s="263">
        <f>SUM(S256,S260,S264,S268)</f>
        <v>0</v>
      </c>
      <c r="T255" s="263">
        <f>SUM(T256,T260,T264,T268)</f>
        <v>0</v>
      </c>
      <c r="U255" s="263">
        <f>SUM(U256,U260,U264,U268)</f>
        <v>0</v>
      </c>
      <c r="V255" s="263">
        <f>SUM(V256,V260,V264,V268)</f>
        <v>0</v>
      </c>
      <c r="W255" s="49" t="s">
        <v>600</v>
      </c>
      <c r="AC255" s="414"/>
      <c r="AD255" s="471"/>
    </row>
    <row r="256" spans="1:30" s="45" customFormat="1" ht="16.2" outlineLevel="1" x14ac:dyDescent="0.35">
      <c r="A256" s="290" t="s">
        <v>539</v>
      </c>
      <c r="B256" s="291"/>
      <c r="C256" s="237"/>
      <c r="D256" s="238" t="s">
        <v>540</v>
      </c>
      <c r="E256" s="239"/>
      <c r="F256" s="259"/>
      <c r="G256" s="232"/>
      <c r="H256" s="260"/>
      <c r="I256" s="258"/>
      <c r="J256" s="232"/>
      <c r="K256" s="251"/>
      <c r="L256" s="286"/>
      <c r="M256" s="498"/>
      <c r="N256" s="518"/>
      <c r="O256" s="288">
        <v>244</v>
      </c>
      <c r="P256" s="289" t="s">
        <v>274</v>
      </c>
      <c r="Q256" s="390"/>
      <c r="R256" s="207">
        <f>SUM(R257:R259)</f>
        <v>0</v>
      </c>
      <c r="S256" s="207">
        <f>SUM(S257:S259)</f>
        <v>0</v>
      </c>
      <c r="T256" s="207">
        <f>SUM(T257:T259)</f>
        <v>0</v>
      </c>
      <c r="U256" s="207">
        <f>SUM(U257:U259)</f>
        <v>0</v>
      </c>
      <c r="V256" s="207">
        <f>SUM(V257:V259)</f>
        <v>0</v>
      </c>
      <c r="W256" s="49"/>
      <c r="AC256" s="414"/>
      <c r="AD256" s="471"/>
    </row>
    <row r="257" spans="1:30" s="283" customFormat="1" ht="15.6" outlineLevel="1" x14ac:dyDescent="0.3">
      <c r="A257" s="264" t="s">
        <v>560</v>
      </c>
      <c r="B257" s="208">
        <f>$W$2</f>
        <v>2023</v>
      </c>
      <c r="C257" s="217"/>
      <c r="D257" s="292"/>
      <c r="E257" s="280" t="s">
        <v>602</v>
      </c>
      <c r="F257" s="280" t="s">
        <v>519</v>
      </c>
      <c r="G257" s="315">
        <v>437</v>
      </c>
      <c r="H257" s="208" t="s">
        <v>520</v>
      </c>
      <c r="I257" s="219"/>
      <c r="J257" s="217"/>
      <c r="K257" s="250"/>
      <c r="L257" s="217"/>
      <c r="M257" s="494"/>
      <c r="N257" s="535"/>
      <c r="O257" s="221"/>
      <c r="P257" s="220"/>
      <c r="Q257" s="381">
        <v>1</v>
      </c>
      <c r="R257" s="270">
        <f>SUM(S257,T257,U257,V257)</f>
        <v>0</v>
      </c>
      <c r="S257" s="270"/>
      <c r="T257" s="270"/>
      <c r="U257" s="270"/>
      <c r="V257" s="270"/>
      <c r="W257" s="49" t="s">
        <v>601</v>
      </c>
      <c r="AC257" s="414"/>
      <c r="AD257" s="471"/>
    </row>
    <row r="258" spans="1:30" ht="15.6" outlineLevel="1" x14ac:dyDescent="0.3">
      <c r="A258" s="264" t="s">
        <v>586</v>
      </c>
      <c r="B258" s="208">
        <f>$W$1</f>
        <v>2024</v>
      </c>
      <c r="C258" s="217"/>
      <c r="D258" s="292"/>
      <c r="E258" s="280" t="s">
        <v>602</v>
      </c>
      <c r="F258" s="280" t="s">
        <v>519</v>
      </c>
      <c r="G258" s="315">
        <v>437</v>
      </c>
      <c r="H258" s="208" t="s">
        <v>520</v>
      </c>
      <c r="I258" s="219"/>
      <c r="J258" s="217"/>
      <c r="K258" s="250"/>
      <c r="L258" s="217"/>
      <c r="M258" s="494"/>
      <c r="N258" s="535"/>
      <c r="O258" s="221"/>
      <c r="P258" s="220"/>
      <c r="Q258" s="381">
        <v>6</v>
      </c>
      <c r="R258" s="270">
        <f>SUM(S258,T258,U258,V258)</f>
        <v>0</v>
      </c>
      <c r="S258" s="270"/>
      <c r="T258" s="270"/>
      <c r="U258" s="270"/>
      <c r="V258" s="270"/>
      <c r="W258" s="49" t="s">
        <v>603</v>
      </c>
    </row>
    <row r="259" spans="1:30" ht="15.6" outlineLevel="1" x14ac:dyDescent="0.3">
      <c r="A259" s="264" t="s">
        <v>692</v>
      </c>
      <c r="B259" s="208">
        <f>$W$1</f>
        <v>2024</v>
      </c>
      <c r="C259" s="217"/>
      <c r="D259" s="292"/>
      <c r="E259" s="280" t="s">
        <v>602</v>
      </c>
      <c r="F259" s="280" t="s">
        <v>519</v>
      </c>
      <c r="G259" s="315">
        <v>437</v>
      </c>
      <c r="H259" s="208" t="s">
        <v>520</v>
      </c>
      <c r="I259" s="219"/>
      <c r="J259" s="217"/>
      <c r="K259" s="250"/>
      <c r="L259" s="217"/>
      <c r="M259" s="494"/>
      <c r="N259" s="535"/>
      <c r="O259" s="221"/>
      <c r="P259" s="220"/>
      <c r="Q259" s="381">
        <v>2</v>
      </c>
      <c r="R259" s="270">
        <f>SUM(S259,T259,U259,V259)</f>
        <v>0</v>
      </c>
      <c r="S259" s="270"/>
      <c r="T259" s="270"/>
      <c r="U259" s="270"/>
      <c r="V259" s="270"/>
      <c r="W259" s="49" t="s">
        <v>604</v>
      </c>
    </row>
    <row r="260" spans="1:30" s="45" customFormat="1" ht="16.2" outlineLevel="1" x14ac:dyDescent="0.35">
      <c r="A260" s="290" t="s">
        <v>539</v>
      </c>
      <c r="B260" s="291"/>
      <c r="C260" s="237"/>
      <c r="D260" s="407" t="s">
        <v>540</v>
      </c>
      <c r="E260" s="404"/>
      <c r="F260" s="259"/>
      <c r="G260" s="232"/>
      <c r="H260" s="260"/>
      <c r="I260" s="258"/>
      <c r="J260" s="232"/>
      <c r="K260" s="251"/>
      <c r="L260" s="286"/>
      <c r="M260" s="498"/>
      <c r="N260" s="518"/>
      <c r="O260" s="288">
        <v>244</v>
      </c>
      <c r="P260" s="289" t="s">
        <v>274</v>
      </c>
      <c r="Q260" s="390"/>
      <c r="R260" s="207">
        <f>SUM(R261:R263)</f>
        <v>0</v>
      </c>
      <c r="S260" s="207">
        <f>SUM(S261:S263)</f>
        <v>0</v>
      </c>
      <c r="T260" s="207">
        <f>SUM(T261:T263)</f>
        <v>0</v>
      </c>
      <c r="U260" s="207">
        <f>SUM(U261:U263)</f>
        <v>0</v>
      </c>
      <c r="V260" s="207">
        <f>SUM(V261:V263)</f>
        <v>0</v>
      </c>
      <c r="W260" s="49"/>
      <c r="AC260" s="414"/>
      <c r="AD260" s="471"/>
    </row>
    <row r="261" spans="1:30" s="283" customFormat="1" ht="15.6" outlineLevel="1" x14ac:dyDescent="0.3">
      <c r="A261" s="264" t="s">
        <v>560</v>
      </c>
      <c r="B261" s="208">
        <f>$W$2</f>
        <v>2023</v>
      </c>
      <c r="C261" s="417"/>
      <c r="D261" s="315"/>
      <c r="E261" s="280" t="s">
        <v>602</v>
      </c>
      <c r="F261" s="280" t="s">
        <v>519</v>
      </c>
      <c r="G261" s="315">
        <v>437</v>
      </c>
      <c r="H261" s="208" t="s">
        <v>520</v>
      </c>
      <c r="I261" s="219"/>
      <c r="J261" s="217"/>
      <c r="K261" s="250"/>
      <c r="L261" s="217"/>
      <c r="M261" s="494"/>
      <c r="N261" s="535"/>
      <c r="O261" s="221"/>
      <c r="P261" s="220"/>
      <c r="Q261" s="381">
        <v>1</v>
      </c>
      <c r="R261" s="270">
        <f>SUM(S261,T261,U261,V261)</f>
        <v>0</v>
      </c>
      <c r="S261" s="270"/>
      <c r="T261" s="270"/>
      <c r="U261" s="270"/>
      <c r="V261" s="270"/>
      <c r="W261" s="49"/>
      <c r="AC261" s="414"/>
      <c r="AD261" s="471"/>
    </row>
    <row r="262" spans="1:30" ht="15.6" outlineLevel="1" x14ac:dyDescent="0.3">
      <c r="A262" s="264" t="s">
        <v>586</v>
      </c>
      <c r="B262" s="208">
        <f>$W$1</f>
        <v>2024</v>
      </c>
      <c r="C262" s="578"/>
      <c r="D262" s="315"/>
      <c r="E262" s="280" t="s">
        <v>602</v>
      </c>
      <c r="F262" s="280" t="s">
        <v>519</v>
      </c>
      <c r="G262" s="315">
        <v>437</v>
      </c>
      <c r="H262" s="208" t="s">
        <v>520</v>
      </c>
      <c r="I262" s="219"/>
      <c r="J262" s="217"/>
      <c r="K262" s="250"/>
      <c r="L262" s="217"/>
      <c r="M262" s="494"/>
      <c r="N262" s="535"/>
      <c r="O262" s="221"/>
      <c r="P262" s="220"/>
      <c r="Q262" s="381">
        <v>6</v>
      </c>
      <c r="R262" s="270">
        <f>SUM(S262,T262,U262,V262)</f>
        <v>0</v>
      </c>
      <c r="S262" s="270"/>
      <c r="T262" s="270"/>
      <c r="U262" s="270"/>
      <c r="V262" s="270"/>
    </row>
    <row r="263" spans="1:30" ht="15.6" outlineLevel="1" x14ac:dyDescent="0.3">
      <c r="A263" s="264" t="s">
        <v>692</v>
      </c>
      <c r="B263" s="208">
        <f>$W$1</f>
        <v>2024</v>
      </c>
      <c r="C263" s="578"/>
      <c r="D263" s="315"/>
      <c r="E263" s="280" t="s">
        <v>602</v>
      </c>
      <c r="F263" s="280" t="s">
        <v>519</v>
      </c>
      <c r="G263" s="315">
        <v>437</v>
      </c>
      <c r="H263" s="208" t="s">
        <v>520</v>
      </c>
      <c r="I263" s="219"/>
      <c r="J263" s="217"/>
      <c r="K263" s="250"/>
      <c r="L263" s="217"/>
      <c r="M263" s="494"/>
      <c r="N263" s="535"/>
      <c r="O263" s="221"/>
      <c r="P263" s="220"/>
      <c r="Q263" s="381">
        <v>2</v>
      </c>
      <c r="R263" s="270">
        <f>SUM(S263,T263,U263,V263)</f>
        <v>0</v>
      </c>
      <c r="S263" s="270"/>
      <c r="T263" s="270"/>
      <c r="U263" s="270"/>
      <c r="V263" s="270"/>
    </row>
    <row r="264" spans="1:30" s="45" customFormat="1" ht="16.2" outlineLevel="1" x14ac:dyDescent="0.35">
      <c r="A264" s="290" t="s">
        <v>539</v>
      </c>
      <c r="B264" s="291"/>
      <c r="C264" s="237"/>
      <c r="D264" s="407" t="s">
        <v>540</v>
      </c>
      <c r="E264" s="404"/>
      <c r="F264" s="259"/>
      <c r="G264" s="232"/>
      <c r="H264" s="260"/>
      <c r="I264" s="258"/>
      <c r="J264" s="232"/>
      <c r="K264" s="251"/>
      <c r="L264" s="286"/>
      <c r="M264" s="498"/>
      <c r="N264" s="518"/>
      <c r="O264" s="288">
        <v>244</v>
      </c>
      <c r="P264" s="289" t="s">
        <v>274</v>
      </c>
      <c r="Q264" s="390"/>
      <c r="R264" s="207">
        <f>SUM(R265:R267)</f>
        <v>0</v>
      </c>
      <c r="S264" s="207">
        <f>SUM(S265:S267)</f>
        <v>0</v>
      </c>
      <c r="T264" s="207">
        <f>SUM(T265:T267)</f>
        <v>0</v>
      </c>
      <c r="U264" s="207">
        <f>SUM(U265:U267)</f>
        <v>0</v>
      </c>
      <c r="V264" s="207">
        <f>SUM(V265:V267)</f>
        <v>0</v>
      </c>
      <c r="W264" s="49"/>
      <c r="AC264" s="414"/>
      <c r="AD264" s="471"/>
    </row>
    <row r="265" spans="1:30" s="283" customFormat="1" ht="15.6" outlineLevel="1" x14ac:dyDescent="0.3">
      <c r="A265" s="264" t="s">
        <v>560</v>
      </c>
      <c r="B265" s="208">
        <f>$W$2</f>
        <v>2023</v>
      </c>
      <c r="C265" s="217"/>
      <c r="D265" s="400"/>
      <c r="E265" s="280" t="s">
        <v>602</v>
      </c>
      <c r="F265" s="280" t="s">
        <v>519</v>
      </c>
      <c r="G265" s="315">
        <v>437</v>
      </c>
      <c r="H265" s="208" t="s">
        <v>520</v>
      </c>
      <c r="I265" s="219"/>
      <c r="J265" s="217"/>
      <c r="K265" s="250"/>
      <c r="L265" s="217"/>
      <c r="M265" s="494"/>
      <c r="N265" s="535"/>
      <c r="O265" s="221"/>
      <c r="P265" s="220"/>
      <c r="Q265" s="381">
        <v>1</v>
      </c>
      <c r="R265" s="270">
        <f>SUM(S265,T265,U265,V265)</f>
        <v>0</v>
      </c>
      <c r="S265" s="270"/>
      <c r="T265" s="270"/>
      <c r="U265" s="270"/>
      <c r="V265" s="270"/>
      <c r="W265" s="49"/>
      <c r="AC265" s="414"/>
      <c r="AD265" s="471"/>
    </row>
    <row r="266" spans="1:30" ht="15.6" outlineLevel="1" x14ac:dyDescent="0.3">
      <c r="A266" s="264" t="s">
        <v>586</v>
      </c>
      <c r="B266" s="208">
        <f>$W$1</f>
        <v>2024</v>
      </c>
      <c r="C266" s="217"/>
      <c r="D266" s="400"/>
      <c r="E266" s="280" t="s">
        <v>602</v>
      </c>
      <c r="F266" s="280" t="s">
        <v>519</v>
      </c>
      <c r="G266" s="315">
        <v>437</v>
      </c>
      <c r="H266" s="208" t="s">
        <v>520</v>
      </c>
      <c r="I266" s="219"/>
      <c r="J266" s="217"/>
      <c r="K266" s="250"/>
      <c r="L266" s="217"/>
      <c r="M266" s="494"/>
      <c r="N266" s="535"/>
      <c r="O266" s="221"/>
      <c r="P266" s="220"/>
      <c r="Q266" s="381">
        <v>6</v>
      </c>
      <c r="R266" s="270">
        <f>SUM(S266,T266,U266,V266)</f>
        <v>0</v>
      </c>
      <c r="S266" s="270"/>
      <c r="T266" s="270"/>
      <c r="U266" s="270"/>
      <c r="V266" s="270"/>
    </row>
    <row r="267" spans="1:30" ht="15.6" outlineLevel="1" x14ac:dyDescent="0.3">
      <c r="A267" s="264" t="s">
        <v>692</v>
      </c>
      <c r="B267" s="208">
        <f>$W$1</f>
        <v>2024</v>
      </c>
      <c r="C267" s="217"/>
      <c r="D267" s="400"/>
      <c r="E267" s="280" t="s">
        <v>602</v>
      </c>
      <c r="F267" s="280" t="s">
        <v>519</v>
      </c>
      <c r="G267" s="315">
        <v>437</v>
      </c>
      <c r="H267" s="208" t="s">
        <v>520</v>
      </c>
      <c r="I267" s="219"/>
      <c r="J267" s="217"/>
      <c r="K267" s="250"/>
      <c r="L267" s="217"/>
      <c r="M267" s="494"/>
      <c r="N267" s="535"/>
      <c r="O267" s="221"/>
      <c r="P267" s="220"/>
      <c r="Q267" s="381">
        <v>2</v>
      </c>
      <c r="R267" s="270">
        <f>SUM(S267,T267,U267,V267)</f>
        <v>0</v>
      </c>
      <c r="S267" s="270"/>
      <c r="T267" s="270"/>
      <c r="U267" s="270"/>
      <c r="V267" s="270"/>
    </row>
    <row r="268" spans="1:30" s="45" customFormat="1" ht="16.2" outlineLevel="1" x14ac:dyDescent="0.35">
      <c r="A268" s="290" t="s">
        <v>539</v>
      </c>
      <c r="B268" s="291"/>
      <c r="C268" s="237"/>
      <c r="D268" s="407" t="s">
        <v>540</v>
      </c>
      <c r="E268" s="239"/>
      <c r="F268" s="259"/>
      <c r="G268" s="232"/>
      <c r="H268" s="260"/>
      <c r="I268" s="258"/>
      <c r="J268" s="232"/>
      <c r="K268" s="251"/>
      <c r="L268" s="286"/>
      <c r="M268" s="498"/>
      <c r="N268" s="518"/>
      <c r="O268" s="288">
        <v>244</v>
      </c>
      <c r="P268" s="289" t="s">
        <v>274</v>
      </c>
      <c r="Q268" s="390"/>
      <c r="R268" s="207">
        <f>SUM(R269:R271)</f>
        <v>0</v>
      </c>
      <c r="S268" s="207">
        <f>SUM(S269:S271)</f>
        <v>0</v>
      </c>
      <c r="T268" s="207">
        <f>SUM(T269:T271)</f>
        <v>0</v>
      </c>
      <c r="U268" s="207">
        <f>SUM(U269:U271)</f>
        <v>0</v>
      </c>
      <c r="V268" s="207">
        <f>SUM(V269:V271)</f>
        <v>0</v>
      </c>
      <c r="W268" s="49"/>
      <c r="AC268" s="414"/>
      <c r="AD268" s="471"/>
    </row>
    <row r="269" spans="1:30" s="283" customFormat="1" ht="15.6" outlineLevel="1" x14ac:dyDescent="0.3">
      <c r="A269" s="264" t="s">
        <v>560</v>
      </c>
      <c r="B269" s="208">
        <f>$W$2</f>
        <v>2023</v>
      </c>
      <c r="C269" s="417"/>
      <c r="D269" s="292"/>
      <c r="E269" s="280" t="s">
        <v>602</v>
      </c>
      <c r="F269" s="280" t="s">
        <v>519</v>
      </c>
      <c r="G269" s="315">
        <v>437</v>
      </c>
      <c r="H269" s="208" t="s">
        <v>520</v>
      </c>
      <c r="I269" s="219"/>
      <c r="J269" s="217"/>
      <c r="K269" s="250"/>
      <c r="L269" s="217"/>
      <c r="M269" s="494"/>
      <c r="N269" s="535"/>
      <c r="O269" s="221"/>
      <c r="P269" s="220"/>
      <c r="Q269" s="381">
        <v>1</v>
      </c>
      <c r="R269" s="270">
        <f>SUM(S269,T269,U269,V269)</f>
        <v>0</v>
      </c>
      <c r="S269" s="270"/>
      <c r="T269" s="270"/>
      <c r="U269" s="270"/>
      <c r="V269" s="270"/>
      <c r="W269" s="49"/>
      <c r="AC269" s="414"/>
      <c r="AD269" s="471"/>
    </row>
    <row r="270" spans="1:30" ht="15.6" outlineLevel="1" x14ac:dyDescent="0.3">
      <c r="A270" s="264" t="s">
        <v>586</v>
      </c>
      <c r="B270" s="208">
        <f>$W$1</f>
        <v>2024</v>
      </c>
      <c r="C270" s="609"/>
      <c r="D270" s="315"/>
      <c r="E270" s="280" t="s">
        <v>602</v>
      </c>
      <c r="F270" s="280" t="s">
        <v>519</v>
      </c>
      <c r="G270" s="315">
        <v>437</v>
      </c>
      <c r="H270" s="208" t="s">
        <v>520</v>
      </c>
      <c r="I270" s="219"/>
      <c r="J270" s="217"/>
      <c r="K270" s="250"/>
      <c r="L270" s="217"/>
      <c r="M270" s="494"/>
      <c r="N270" s="535"/>
      <c r="O270" s="221"/>
      <c r="P270" s="220"/>
      <c r="Q270" s="381">
        <v>6</v>
      </c>
      <c r="R270" s="270">
        <f>SUM(S270,T270,U270,V270)</f>
        <v>0</v>
      </c>
      <c r="S270" s="270"/>
      <c r="T270" s="270"/>
      <c r="U270" s="270"/>
      <c r="V270" s="270"/>
    </row>
    <row r="271" spans="1:30" ht="15.6" outlineLevel="1" x14ac:dyDescent="0.3">
      <c r="A271" s="264" t="s">
        <v>692</v>
      </c>
      <c r="B271" s="208">
        <f>$W$1</f>
        <v>2024</v>
      </c>
      <c r="C271" s="417"/>
      <c r="D271" s="315"/>
      <c r="E271" s="280" t="s">
        <v>602</v>
      </c>
      <c r="F271" s="280" t="s">
        <v>519</v>
      </c>
      <c r="G271" s="315">
        <v>437</v>
      </c>
      <c r="H271" s="208" t="s">
        <v>520</v>
      </c>
      <c r="I271" s="219"/>
      <c r="J271" s="217"/>
      <c r="K271" s="250"/>
      <c r="L271" s="217"/>
      <c r="M271" s="494"/>
      <c r="N271" s="535"/>
      <c r="O271" s="221"/>
      <c r="P271" s="220"/>
      <c r="Q271" s="381">
        <v>2</v>
      </c>
      <c r="R271" s="270">
        <f>SUM(S271,T271,U271,V271)</f>
        <v>0</v>
      </c>
      <c r="S271" s="270"/>
      <c r="T271" s="270"/>
      <c r="U271" s="270"/>
      <c r="V271" s="270"/>
    </row>
    <row r="272" spans="1:30" ht="16.2" x14ac:dyDescent="0.35">
      <c r="A272" s="231" t="s">
        <v>697</v>
      </c>
      <c r="B272" s="241"/>
      <c r="C272" s="241"/>
      <c r="D272" s="408"/>
      <c r="E272" s="286"/>
      <c r="F272" s="259"/>
      <c r="G272" s="232"/>
      <c r="H272" s="260"/>
      <c r="I272" s="258"/>
      <c r="J272" s="232"/>
      <c r="K272" s="251"/>
      <c r="L272" s="241"/>
      <c r="M272" s="499"/>
      <c r="N272" s="518" t="s">
        <v>270</v>
      </c>
      <c r="O272" s="296">
        <v>244</v>
      </c>
      <c r="P272" s="297">
        <v>225</v>
      </c>
      <c r="Q272" s="384"/>
      <c r="R272" s="263">
        <f>SUM(R273,R277)</f>
        <v>0</v>
      </c>
      <c r="S272" s="263">
        <f>SUM(S273,S277)</f>
        <v>0</v>
      </c>
      <c r="T272" s="263">
        <f>SUM(T273,T277)</f>
        <v>0</v>
      </c>
      <c r="U272" s="263">
        <f>SUM(U273,U277)</f>
        <v>0</v>
      </c>
      <c r="V272" s="263">
        <f>SUM(V273,V277)</f>
        <v>0</v>
      </c>
    </row>
    <row r="273" spans="1:30" ht="16.2" outlineLevel="1" x14ac:dyDescent="0.35">
      <c r="A273" s="290" t="s">
        <v>539</v>
      </c>
      <c r="B273" s="291"/>
      <c r="C273" s="237"/>
      <c r="D273" s="407" t="s">
        <v>540</v>
      </c>
      <c r="E273" s="404"/>
      <c r="F273" s="259"/>
      <c r="G273" s="232"/>
      <c r="H273" s="260"/>
      <c r="I273" s="258"/>
      <c r="J273" s="232"/>
      <c r="K273" s="251"/>
      <c r="L273" s="241"/>
      <c r="M273" s="499"/>
      <c r="N273" s="518"/>
      <c r="O273" s="296"/>
      <c r="P273" s="297"/>
      <c r="Q273" s="384"/>
      <c r="R273" s="263">
        <f>SUM(R274:R276)</f>
        <v>0</v>
      </c>
      <c r="S273" s="263">
        <f>SUM(S274:S276)</f>
        <v>0</v>
      </c>
      <c r="T273" s="263">
        <f>SUM(T274:T276)</f>
        <v>0</v>
      </c>
      <c r="U273" s="263">
        <f>SUM(U274:U276)</f>
        <v>0</v>
      </c>
      <c r="V273" s="263">
        <f>SUM(V274:V276)</f>
        <v>0</v>
      </c>
    </row>
    <row r="274" spans="1:30" s="283" customFormat="1" ht="15.6" outlineLevel="1" x14ac:dyDescent="0.3">
      <c r="A274" s="264" t="s">
        <v>560</v>
      </c>
      <c r="B274" s="208">
        <f>$W$2</f>
        <v>2023</v>
      </c>
      <c r="C274" s="217"/>
      <c r="D274" s="218"/>
      <c r="E274" s="217" t="s">
        <v>541</v>
      </c>
      <c r="F274" s="280" t="s">
        <v>519</v>
      </c>
      <c r="G274" s="315">
        <v>19.989999999999998</v>
      </c>
      <c r="H274" s="208" t="s">
        <v>520</v>
      </c>
      <c r="I274" s="219"/>
      <c r="J274" s="217"/>
      <c r="K274" s="250"/>
      <c r="L274" s="217"/>
      <c r="M274" s="494"/>
      <c r="N274" s="535"/>
      <c r="O274" s="221"/>
      <c r="P274" s="220"/>
      <c r="Q274" s="381">
        <v>1</v>
      </c>
      <c r="R274" s="270">
        <f>SUM(S274,T274,U274,V274)</f>
        <v>0</v>
      </c>
      <c r="S274" s="270"/>
      <c r="T274" s="270"/>
      <c r="U274" s="270"/>
      <c r="V274" s="270"/>
      <c r="AC274" s="414"/>
      <c r="AD274" s="471"/>
    </row>
    <row r="275" spans="1:30" ht="15.6" outlineLevel="1" x14ac:dyDescent="0.3">
      <c r="A275" s="264" t="s">
        <v>586</v>
      </c>
      <c r="B275" s="208">
        <f>$W$1</f>
        <v>2024</v>
      </c>
      <c r="C275" s="217"/>
      <c r="D275" s="218"/>
      <c r="E275" s="217" t="s">
        <v>541</v>
      </c>
      <c r="F275" s="280" t="s">
        <v>519</v>
      </c>
      <c r="G275" s="315">
        <v>19.989999999999998</v>
      </c>
      <c r="H275" s="208" t="s">
        <v>520</v>
      </c>
      <c r="I275" s="219"/>
      <c r="J275" s="217"/>
      <c r="K275" s="250"/>
      <c r="L275" s="217"/>
      <c r="M275" s="494"/>
      <c r="N275" s="535"/>
      <c r="O275" s="221"/>
      <c r="P275" s="220"/>
      <c r="Q275" s="381">
        <v>6</v>
      </c>
      <c r="R275" s="270">
        <f>SUM(S275,T275,U275,V275)</f>
        <v>0</v>
      </c>
      <c r="S275" s="270"/>
      <c r="T275" s="270"/>
      <c r="U275" s="270"/>
      <c r="V275" s="270"/>
    </row>
    <row r="276" spans="1:30" ht="15.6" outlineLevel="1" x14ac:dyDescent="0.3">
      <c r="A276" s="264" t="s">
        <v>692</v>
      </c>
      <c r="B276" s="208">
        <f>$W$1</f>
        <v>2024</v>
      </c>
      <c r="C276" s="217"/>
      <c r="D276" s="218"/>
      <c r="E276" s="217" t="s">
        <v>541</v>
      </c>
      <c r="F276" s="280" t="s">
        <v>519</v>
      </c>
      <c r="G276" s="315">
        <v>19.989999999999998</v>
      </c>
      <c r="H276" s="208" t="s">
        <v>520</v>
      </c>
      <c r="I276" s="219"/>
      <c r="J276" s="217"/>
      <c r="K276" s="250"/>
      <c r="L276" s="217"/>
      <c r="M276" s="494"/>
      <c r="N276" s="535"/>
      <c r="O276" s="221"/>
      <c r="P276" s="220"/>
      <c r="Q276" s="381">
        <v>2</v>
      </c>
      <c r="R276" s="270">
        <f>SUM(S276,T276,U276,V276)</f>
        <v>0</v>
      </c>
      <c r="S276" s="270"/>
      <c r="T276" s="270"/>
      <c r="U276" s="270"/>
      <c r="V276" s="270"/>
    </row>
    <row r="277" spans="1:30" ht="16.2" outlineLevel="1" x14ac:dyDescent="0.35">
      <c r="A277" s="290" t="s">
        <v>539</v>
      </c>
      <c r="B277" s="291"/>
      <c r="C277" s="237"/>
      <c r="D277" s="407" t="s">
        <v>540</v>
      </c>
      <c r="E277" s="404"/>
      <c r="F277" s="259"/>
      <c r="G277" s="232"/>
      <c r="H277" s="260"/>
      <c r="I277" s="258"/>
      <c r="J277" s="232"/>
      <c r="K277" s="251"/>
      <c r="L277" s="241"/>
      <c r="M277" s="499"/>
      <c r="N277" s="518"/>
      <c r="O277" s="296"/>
      <c r="P277" s="297"/>
      <c r="Q277" s="384"/>
      <c r="R277" s="263">
        <f>SUM(R278:R280)</f>
        <v>0</v>
      </c>
      <c r="S277" s="263">
        <f>SUM(S278:S280)</f>
        <v>0</v>
      </c>
      <c r="T277" s="263">
        <f>SUM(T278:T280)</f>
        <v>0</v>
      </c>
      <c r="U277" s="263">
        <f>SUM(U278:U280)</f>
        <v>0</v>
      </c>
      <c r="V277" s="263">
        <f>SUM(V278:V280)</f>
        <v>0</v>
      </c>
    </row>
    <row r="278" spans="1:30" s="283" customFormat="1" ht="15.6" outlineLevel="1" x14ac:dyDescent="0.3">
      <c r="A278" s="264" t="s">
        <v>560</v>
      </c>
      <c r="B278" s="208">
        <f>$W$2</f>
        <v>2023</v>
      </c>
      <c r="C278" s="217"/>
      <c r="D278" s="218"/>
      <c r="E278" s="217" t="s">
        <v>541</v>
      </c>
      <c r="F278" s="280" t="s">
        <v>519</v>
      </c>
      <c r="G278" s="315">
        <v>38.130000000000003</v>
      </c>
      <c r="H278" s="208" t="s">
        <v>520</v>
      </c>
      <c r="I278" s="219"/>
      <c r="J278" s="217"/>
      <c r="K278" s="250"/>
      <c r="L278" s="217"/>
      <c r="M278" s="494"/>
      <c r="N278" s="535"/>
      <c r="O278" s="221"/>
      <c r="P278" s="220"/>
      <c r="Q278" s="381">
        <v>1</v>
      </c>
      <c r="R278" s="270">
        <f>SUM(S278,T278,U278,V278)</f>
        <v>0</v>
      </c>
      <c r="S278" s="270"/>
      <c r="T278" s="270"/>
      <c r="U278" s="270"/>
      <c r="V278" s="270"/>
      <c r="AC278" s="414"/>
      <c r="AD278" s="471"/>
    </row>
    <row r="279" spans="1:30" ht="15.6" outlineLevel="1" x14ac:dyDescent="0.3">
      <c r="A279" s="264" t="s">
        <v>586</v>
      </c>
      <c r="B279" s="208">
        <f>$W$1</f>
        <v>2024</v>
      </c>
      <c r="C279" s="217"/>
      <c r="D279" s="218"/>
      <c r="E279" s="217" t="s">
        <v>541</v>
      </c>
      <c r="F279" s="280" t="s">
        <v>519</v>
      </c>
      <c r="G279" s="315">
        <v>38.130000000000003</v>
      </c>
      <c r="H279" s="208" t="s">
        <v>520</v>
      </c>
      <c r="I279" s="219"/>
      <c r="J279" s="217"/>
      <c r="K279" s="250"/>
      <c r="L279" s="217"/>
      <c r="M279" s="494"/>
      <c r="N279" s="535"/>
      <c r="O279" s="221"/>
      <c r="P279" s="220"/>
      <c r="Q279" s="381">
        <v>6</v>
      </c>
      <c r="R279" s="270">
        <f>SUM(S279,T279,U279,V279)</f>
        <v>0</v>
      </c>
      <c r="S279" s="270"/>
      <c r="T279" s="270"/>
      <c r="U279" s="270"/>
      <c r="V279" s="270"/>
    </row>
    <row r="280" spans="1:30" ht="15.6" outlineLevel="1" x14ac:dyDescent="0.3">
      <c r="A280" s="264" t="s">
        <v>692</v>
      </c>
      <c r="B280" s="208">
        <f>$W$1</f>
        <v>2024</v>
      </c>
      <c r="C280" s="217"/>
      <c r="D280" s="218"/>
      <c r="E280" s="217" t="s">
        <v>541</v>
      </c>
      <c r="F280" s="280" t="s">
        <v>519</v>
      </c>
      <c r="G280" s="315">
        <v>38.130000000000003</v>
      </c>
      <c r="H280" s="208" t="s">
        <v>520</v>
      </c>
      <c r="I280" s="219"/>
      <c r="J280" s="217"/>
      <c r="K280" s="250"/>
      <c r="L280" s="217"/>
      <c r="M280" s="494"/>
      <c r="N280" s="535"/>
      <c r="O280" s="221"/>
      <c r="P280" s="220"/>
      <c r="Q280" s="381">
        <v>2</v>
      </c>
      <c r="R280" s="270">
        <f>SUM(S280,T280,U280,V280)</f>
        <v>0</v>
      </c>
      <c r="S280" s="270"/>
      <c r="T280" s="270"/>
      <c r="U280" s="270"/>
      <c r="V280" s="270"/>
    </row>
    <row r="281" spans="1:30" ht="16.2" x14ac:dyDescent="0.35">
      <c r="A281" s="231" t="s">
        <v>698</v>
      </c>
      <c r="B281" s="232"/>
      <c r="C281" s="232"/>
      <c r="D281" s="232"/>
      <c r="E281" s="232"/>
      <c r="F281" s="259"/>
      <c r="G281" s="232"/>
      <c r="H281" s="260"/>
      <c r="I281" s="258"/>
      <c r="J281" s="232"/>
      <c r="K281" s="282"/>
      <c r="L281" s="232"/>
      <c r="M281" s="495"/>
      <c r="N281" s="536" t="s">
        <v>270</v>
      </c>
      <c r="O281" s="234">
        <v>244</v>
      </c>
      <c r="P281" s="233">
        <v>225</v>
      </c>
      <c r="Q281" s="381"/>
      <c r="R281" s="263">
        <f>SUM(R282,R286)</f>
        <v>0</v>
      </c>
      <c r="S281" s="263">
        <f>SUM(S282,S286)</f>
        <v>0</v>
      </c>
      <c r="T281" s="263">
        <f>SUM(T282,T286)</f>
        <v>0</v>
      </c>
      <c r="U281" s="263">
        <f>SUM(U282,U286)</f>
        <v>0</v>
      </c>
      <c r="V281" s="263">
        <f>SUM(V282,V286)</f>
        <v>0</v>
      </c>
    </row>
    <row r="282" spans="1:30" ht="16.2" outlineLevel="1" x14ac:dyDescent="0.35">
      <c r="A282" s="290" t="s">
        <v>539</v>
      </c>
      <c r="B282" s="291"/>
      <c r="C282" s="237"/>
      <c r="D282" s="407" t="s">
        <v>540</v>
      </c>
      <c r="E282" s="404"/>
      <c r="F282" s="259"/>
      <c r="G282" s="232"/>
      <c r="H282" s="260"/>
      <c r="I282" s="258"/>
      <c r="J282" s="232"/>
      <c r="K282" s="251"/>
      <c r="L282" s="241"/>
      <c r="M282" s="499"/>
      <c r="N282" s="518"/>
      <c r="O282" s="296"/>
      <c r="P282" s="297"/>
      <c r="Q282" s="384"/>
      <c r="R282" s="263">
        <f>SUM(R283:R285)</f>
        <v>0</v>
      </c>
      <c r="S282" s="263">
        <f>SUM(S283:S285)</f>
        <v>0</v>
      </c>
      <c r="T282" s="263">
        <f>SUM(T283:T285)</f>
        <v>0</v>
      </c>
      <c r="U282" s="263">
        <f>SUM(U283:U285)</f>
        <v>0</v>
      </c>
      <c r="V282" s="263">
        <f>SUM(V283:V285)</f>
        <v>0</v>
      </c>
    </row>
    <row r="283" spans="1:30" ht="15.6" outlineLevel="1" x14ac:dyDescent="0.3">
      <c r="A283" s="264" t="s">
        <v>560</v>
      </c>
      <c r="B283" s="208">
        <f>$W$2</f>
        <v>2023</v>
      </c>
      <c r="C283" s="217"/>
      <c r="D283" s="218"/>
      <c r="E283" s="217" t="s">
        <v>541</v>
      </c>
      <c r="F283" s="280" t="s">
        <v>519</v>
      </c>
      <c r="G283" s="315">
        <v>8.4499999999999993</v>
      </c>
      <c r="H283" s="208" t="s">
        <v>520</v>
      </c>
      <c r="I283" s="219"/>
      <c r="J283" s="217"/>
      <c r="K283" s="250"/>
      <c r="L283" s="217"/>
      <c r="M283" s="494"/>
      <c r="N283" s="535"/>
      <c r="O283" s="221"/>
      <c r="P283" s="220"/>
      <c r="Q283" s="381">
        <v>1</v>
      </c>
      <c r="R283" s="270">
        <f>SUM(S283,T283,U283,V283)</f>
        <v>0</v>
      </c>
      <c r="S283" s="270"/>
      <c r="T283" s="270"/>
      <c r="U283" s="270"/>
      <c r="V283" s="270"/>
    </row>
    <row r="284" spans="1:30" ht="15.6" outlineLevel="1" x14ac:dyDescent="0.3">
      <c r="A284" s="264" t="s">
        <v>586</v>
      </c>
      <c r="B284" s="208">
        <f>$W$1</f>
        <v>2024</v>
      </c>
      <c r="C284" s="217"/>
      <c r="D284" s="218"/>
      <c r="E284" s="217" t="s">
        <v>541</v>
      </c>
      <c r="F284" s="280" t="s">
        <v>519</v>
      </c>
      <c r="G284" s="315">
        <v>9.2899999999999991</v>
      </c>
      <c r="H284" s="208" t="s">
        <v>520</v>
      </c>
      <c r="I284" s="219"/>
      <c r="J284" s="217"/>
      <c r="K284" s="250"/>
      <c r="L284" s="217"/>
      <c r="M284" s="494"/>
      <c r="N284" s="535"/>
      <c r="O284" s="221"/>
      <c r="P284" s="220"/>
      <c r="Q284" s="381">
        <v>6</v>
      </c>
      <c r="R284" s="270">
        <f>SUM(S284,T284,U284,V284)</f>
        <v>0</v>
      </c>
      <c r="S284" s="270"/>
      <c r="T284" s="270"/>
      <c r="U284" s="270"/>
      <c r="V284" s="270"/>
    </row>
    <row r="285" spans="1:30" ht="15.6" outlineLevel="1" x14ac:dyDescent="0.3">
      <c r="A285" s="264" t="s">
        <v>692</v>
      </c>
      <c r="B285" s="208">
        <f>$W$1</f>
        <v>2024</v>
      </c>
      <c r="C285" s="217"/>
      <c r="D285" s="218"/>
      <c r="E285" s="217" t="s">
        <v>541</v>
      </c>
      <c r="F285" s="280" t="s">
        <v>519</v>
      </c>
      <c r="G285" s="315">
        <v>9.2899999999999991</v>
      </c>
      <c r="H285" s="208" t="s">
        <v>520</v>
      </c>
      <c r="I285" s="219"/>
      <c r="J285" s="217"/>
      <c r="K285" s="250"/>
      <c r="L285" s="217"/>
      <c r="M285" s="494"/>
      <c r="N285" s="535"/>
      <c r="O285" s="221"/>
      <c r="P285" s="220"/>
      <c r="Q285" s="381">
        <v>5</v>
      </c>
      <c r="R285" s="270">
        <f>SUM(S285,T285,U285,V285)</f>
        <v>0</v>
      </c>
      <c r="S285" s="270"/>
      <c r="T285" s="270"/>
      <c r="U285" s="270"/>
      <c r="V285" s="270"/>
    </row>
    <row r="286" spans="1:30" ht="16.2" outlineLevel="1" x14ac:dyDescent="0.35">
      <c r="A286" s="290" t="s">
        <v>539</v>
      </c>
      <c r="B286" s="291"/>
      <c r="C286" s="237"/>
      <c r="D286" s="407" t="s">
        <v>540</v>
      </c>
      <c r="E286" s="404"/>
      <c r="F286" s="259"/>
      <c r="G286" s="232"/>
      <c r="H286" s="260"/>
      <c r="I286" s="258"/>
      <c r="J286" s="232"/>
      <c r="K286" s="251"/>
      <c r="L286" s="241"/>
      <c r="M286" s="499"/>
      <c r="N286" s="518"/>
      <c r="O286" s="296"/>
      <c r="P286" s="297"/>
      <c r="Q286" s="384"/>
      <c r="R286" s="263">
        <f>SUM(R287:R289)</f>
        <v>0</v>
      </c>
      <c r="S286" s="263">
        <f>SUM(S287:S289)</f>
        <v>0</v>
      </c>
      <c r="T286" s="263">
        <f>SUM(T287:T289)</f>
        <v>0</v>
      </c>
      <c r="U286" s="263">
        <f>SUM(U287:U289)</f>
        <v>0</v>
      </c>
      <c r="V286" s="263">
        <f>SUM(V287:V289)</f>
        <v>0</v>
      </c>
    </row>
    <row r="287" spans="1:30" s="283" customFormat="1" ht="15.6" outlineLevel="1" x14ac:dyDescent="0.3">
      <c r="A287" s="264" t="s">
        <v>560</v>
      </c>
      <c r="B287" s="208">
        <f>$W$2</f>
        <v>2023</v>
      </c>
      <c r="C287" s="217"/>
      <c r="D287" s="218"/>
      <c r="E287" s="217" t="s">
        <v>541</v>
      </c>
      <c r="F287" s="280" t="s">
        <v>519</v>
      </c>
      <c r="G287" s="315">
        <v>8.4499999999999993</v>
      </c>
      <c r="H287" s="208" t="s">
        <v>520</v>
      </c>
      <c r="I287" s="219"/>
      <c r="J287" s="217"/>
      <c r="K287" s="250"/>
      <c r="L287" s="217"/>
      <c r="M287" s="494"/>
      <c r="N287" s="535"/>
      <c r="O287" s="221"/>
      <c r="P287" s="220"/>
      <c r="Q287" s="381">
        <v>1</v>
      </c>
      <c r="R287" s="270">
        <f>SUM(S287,T287,U287,V287)</f>
        <v>0</v>
      </c>
      <c r="S287" s="270"/>
      <c r="T287" s="270"/>
      <c r="U287" s="270"/>
      <c r="V287" s="270"/>
      <c r="AC287" s="414"/>
      <c r="AD287" s="471"/>
    </row>
    <row r="288" spans="1:30" ht="15.6" outlineLevel="1" x14ac:dyDescent="0.3">
      <c r="A288" s="264" t="s">
        <v>563</v>
      </c>
      <c r="B288" s="208">
        <f>$W$1</f>
        <v>2024</v>
      </c>
      <c r="C288" s="217"/>
      <c r="D288" s="218"/>
      <c r="E288" s="217" t="s">
        <v>541</v>
      </c>
      <c r="F288" s="280" t="s">
        <v>519</v>
      </c>
      <c r="G288" s="315">
        <v>9.2899999999999991</v>
      </c>
      <c r="H288" s="208" t="s">
        <v>520</v>
      </c>
      <c r="I288" s="219"/>
      <c r="J288" s="217"/>
      <c r="K288" s="250"/>
      <c r="L288" s="217"/>
      <c r="M288" s="494"/>
      <c r="N288" s="535"/>
      <c r="O288" s="221"/>
      <c r="P288" s="220"/>
      <c r="Q288" s="381">
        <f>6</f>
        <v>6</v>
      </c>
      <c r="R288" s="270">
        <f>SUM(S288,T288,U288,V288)</f>
        <v>0</v>
      </c>
      <c r="S288" s="270"/>
      <c r="T288" s="270"/>
      <c r="U288" s="270"/>
      <c r="V288" s="270"/>
    </row>
    <row r="289" spans="1:30" ht="15.6" outlineLevel="1" x14ac:dyDescent="0.3">
      <c r="A289" s="264" t="s">
        <v>692</v>
      </c>
      <c r="B289" s="208">
        <f>$W$1</f>
        <v>2024</v>
      </c>
      <c r="C289" s="217"/>
      <c r="D289" s="218"/>
      <c r="E289" s="217" t="s">
        <v>541</v>
      </c>
      <c r="F289" s="280" t="s">
        <v>519</v>
      </c>
      <c r="G289" s="315">
        <v>9.2899999999999991</v>
      </c>
      <c r="H289" s="208" t="s">
        <v>520</v>
      </c>
      <c r="I289" s="219"/>
      <c r="J289" s="217"/>
      <c r="K289" s="250"/>
      <c r="L289" s="217"/>
      <c r="M289" s="494"/>
      <c r="N289" s="535"/>
      <c r="O289" s="221"/>
      <c r="P289" s="220"/>
      <c r="Q289" s="381">
        <v>5</v>
      </c>
      <c r="R289" s="270">
        <f>SUM(S289,T289,U289,V289)</f>
        <v>0</v>
      </c>
      <c r="S289" s="270"/>
      <c r="T289" s="270"/>
      <c r="U289" s="270"/>
      <c r="V289" s="270"/>
    </row>
    <row r="290" spans="1:30" ht="16.2" x14ac:dyDescent="0.35">
      <c r="A290" s="231" t="s">
        <v>698</v>
      </c>
      <c r="B290" s="232"/>
      <c r="C290" s="232"/>
      <c r="D290" s="232"/>
      <c r="E290" s="232"/>
      <c r="F290" s="259"/>
      <c r="G290" s="232"/>
      <c r="H290" s="260"/>
      <c r="I290" s="258"/>
      <c r="J290" s="232"/>
      <c r="K290" s="282"/>
      <c r="L290" s="232"/>
      <c r="M290" s="495"/>
      <c r="N290" s="536" t="s">
        <v>270</v>
      </c>
      <c r="O290" s="234">
        <v>244</v>
      </c>
      <c r="P290" s="233">
        <v>225</v>
      </c>
      <c r="Q290" s="381"/>
      <c r="R290" s="263">
        <f>SUM(S290,T290,U290,V290)</f>
        <v>0</v>
      </c>
      <c r="S290" s="263"/>
      <c r="T290" s="263"/>
      <c r="U290" s="263"/>
      <c r="V290" s="263"/>
    </row>
    <row r="291" spans="1:30" ht="16.2" x14ac:dyDescent="0.35">
      <c r="A291" s="318" t="s">
        <v>699</v>
      </c>
      <c r="B291" s="232"/>
      <c r="C291" s="232"/>
      <c r="D291" s="232"/>
      <c r="E291" s="232"/>
      <c r="F291" s="259"/>
      <c r="G291" s="232"/>
      <c r="H291" s="260"/>
      <c r="I291" s="258"/>
      <c r="J291" s="232"/>
      <c r="K291" s="251"/>
      <c r="L291" s="232"/>
      <c r="M291" s="495"/>
      <c r="N291" s="536" t="s">
        <v>279</v>
      </c>
      <c r="O291" s="234">
        <v>244</v>
      </c>
      <c r="P291" s="233">
        <v>225</v>
      </c>
      <c r="Q291" s="381"/>
      <c r="R291" s="263">
        <f>SUM(R292:R294)</f>
        <v>0</v>
      </c>
      <c r="S291" s="263">
        <f>SUM(S292:S294)</f>
        <v>0</v>
      </c>
      <c r="T291" s="263">
        <f>SUM(T292:T294)</f>
        <v>0</v>
      </c>
      <c r="U291" s="263">
        <f>SUM(U292:U294)</f>
        <v>0</v>
      </c>
      <c r="V291" s="263">
        <f>SUM(V292:V294)</f>
        <v>0</v>
      </c>
    </row>
    <row r="292" spans="1:30" s="45" customFormat="1" ht="15.6" outlineLevel="1" x14ac:dyDescent="0.3">
      <c r="A292" s="264" t="s">
        <v>560</v>
      </c>
      <c r="B292" s="208">
        <f>$W$2</f>
        <v>2023</v>
      </c>
      <c r="C292" s="304"/>
      <c r="D292" s="218"/>
      <c r="E292" s="217" t="s">
        <v>541</v>
      </c>
      <c r="F292" s="280" t="s">
        <v>519</v>
      </c>
      <c r="G292" s="218">
        <v>2.73</v>
      </c>
      <c r="H292" s="208" t="s">
        <v>520</v>
      </c>
      <c r="I292" s="219"/>
      <c r="J292" s="217"/>
      <c r="K292" s="250"/>
      <c r="L292" s="217"/>
      <c r="M292" s="494"/>
      <c r="N292" s="535"/>
      <c r="O292" s="221"/>
      <c r="P292" s="220"/>
      <c r="Q292" s="381">
        <v>1</v>
      </c>
      <c r="R292" s="222">
        <f>SUM(S292,T292,U292,V292)</f>
        <v>0</v>
      </c>
      <c r="S292" s="222"/>
      <c r="T292" s="222"/>
      <c r="U292" s="222"/>
      <c r="V292" s="222"/>
      <c r="AC292" s="414"/>
      <c r="AD292" s="471"/>
    </row>
    <row r="293" spans="1:30" ht="15.6" outlineLevel="1" x14ac:dyDescent="0.3">
      <c r="A293" s="264" t="s">
        <v>586</v>
      </c>
      <c r="B293" s="208">
        <f>$W$1</f>
        <v>2024</v>
      </c>
      <c r="C293" s="304"/>
      <c r="D293" s="218"/>
      <c r="E293" s="217" t="s">
        <v>541</v>
      </c>
      <c r="F293" s="280" t="s">
        <v>519</v>
      </c>
      <c r="G293" s="218">
        <v>2.73</v>
      </c>
      <c r="H293" s="208" t="s">
        <v>520</v>
      </c>
      <c r="I293" s="219"/>
      <c r="J293" s="217"/>
      <c r="K293" s="250"/>
      <c r="L293" s="217"/>
      <c r="M293" s="494"/>
      <c r="N293" s="535"/>
      <c r="O293" s="221"/>
      <c r="P293" s="220"/>
      <c r="Q293" s="381">
        <v>6</v>
      </c>
      <c r="R293" s="222">
        <f>SUM(S293,T293,U293,V293)</f>
        <v>0</v>
      </c>
      <c r="S293" s="222"/>
      <c r="T293" s="222"/>
      <c r="U293" s="222"/>
      <c r="V293" s="222"/>
    </row>
    <row r="294" spans="1:30" ht="15.6" outlineLevel="1" x14ac:dyDescent="0.3">
      <c r="A294" s="264" t="s">
        <v>692</v>
      </c>
      <c r="B294" s="208">
        <f>$W$1</f>
        <v>2024</v>
      </c>
      <c r="C294" s="304"/>
      <c r="D294" s="218"/>
      <c r="E294" s="217" t="s">
        <v>541</v>
      </c>
      <c r="F294" s="280" t="s">
        <v>519</v>
      </c>
      <c r="G294" s="218">
        <v>2.73</v>
      </c>
      <c r="H294" s="208" t="s">
        <v>520</v>
      </c>
      <c r="I294" s="591"/>
      <c r="J294" s="217"/>
      <c r="K294" s="250"/>
      <c r="L294" s="217"/>
      <c r="M294" s="494"/>
      <c r="N294" s="535"/>
      <c r="O294" s="221"/>
      <c r="P294" s="220"/>
      <c r="Q294" s="381">
        <v>2</v>
      </c>
      <c r="R294" s="222">
        <f>SUM(S294,T294,U294,V294)</f>
        <v>0</v>
      </c>
      <c r="S294" s="222"/>
      <c r="T294" s="222"/>
      <c r="U294" s="222"/>
      <c r="V294" s="222"/>
    </row>
    <row r="295" spans="1:30" ht="16.2" x14ac:dyDescent="0.35">
      <c r="A295" s="318" t="s">
        <v>606</v>
      </c>
      <c r="B295" s="232"/>
      <c r="C295" s="232"/>
      <c r="D295" s="303"/>
      <c r="E295" s="232"/>
      <c r="F295" s="232"/>
      <c r="G295" s="241"/>
      <c r="H295" s="232"/>
      <c r="I295" s="316"/>
      <c r="J295" s="232"/>
      <c r="K295" s="251"/>
      <c r="L295" s="232"/>
      <c r="M295" s="495"/>
      <c r="N295" s="536" t="s">
        <v>276</v>
      </c>
      <c r="O295" s="234">
        <v>244</v>
      </c>
      <c r="P295" s="233">
        <v>225</v>
      </c>
      <c r="Q295" s="381"/>
      <c r="R295" s="263">
        <f>SUM(R299,R296,R302,R305)</f>
        <v>0</v>
      </c>
      <c r="S295" s="263">
        <f>SUM(S299,S296,S302,S305)</f>
        <v>0</v>
      </c>
      <c r="T295" s="263">
        <f>SUM(T299,T296,T302,T305)</f>
        <v>0</v>
      </c>
      <c r="U295" s="263">
        <f>SUM(U299,U296,U302,U305)</f>
        <v>0</v>
      </c>
      <c r="V295" s="263">
        <f>SUM(V299,V296,V302,V305)</f>
        <v>0</v>
      </c>
    </row>
    <row r="296" spans="1:30" s="45" customFormat="1" ht="16.2" outlineLevel="1" x14ac:dyDescent="0.35">
      <c r="A296" s="231" t="s">
        <v>693</v>
      </c>
      <c r="B296" s="232"/>
      <c r="C296" s="232"/>
      <c r="D296" s="303"/>
      <c r="E296" s="232"/>
      <c r="F296" s="259"/>
      <c r="G296" s="232"/>
      <c r="H296" s="260"/>
      <c r="I296" s="258"/>
      <c r="J296" s="232"/>
      <c r="K296" s="282"/>
      <c r="L296" s="232"/>
      <c r="M296" s="495"/>
      <c r="N296" s="536"/>
      <c r="O296" s="234">
        <v>244</v>
      </c>
      <c r="P296" s="233">
        <v>225</v>
      </c>
      <c r="Q296" s="381"/>
      <c r="R296" s="263">
        <f>SUM(R297:R298)</f>
        <v>0</v>
      </c>
      <c r="S296" s="263">
        <f>SUM(S297:S298)</f>
        <v>0</v>
      </c>
      <c r="T296" s="263">
        <f>SUM(T297:T298)</f>
        <v>0</v>
      </c>
      <c r="U296" s="263">
        <f>SUM(U297:U298)</f>
        <v>0</v>
      </c>
      <c r="V296" s="263">
        <f>SUM(V297:V298)</f>
        <v>0</v>
      </c>
      <c r="AC296" s="251"/>
      <c r="AD296" s="251"/>
    </row>
    <row r="297" spans="1:30" s="283" customFormat="1" ht="15.6" outlineLevel="1" x14ac:dyDescent="0.3">
      <c r="A297" s="264" t="s">
        <v>560</v>
      </c>
      <c r="B297" s="208">
        <f>$W$2</f>
        <v>2023</v>
      </c>
      <c r="C297" s="304"/>
      <c r="D297" s="218"/>
      <c r="E297" s="217" t="s">
        <v>541</v>
      </c>
      <c r="F297" s="280" t="s">
        <v>519</v>
      </c>
      <c r="G297" s="315">
        <v>0.2167</v>
      </c>
      <c r="H297" s="208" t="s">
        <v>520</v>
      </c>
      <c r="I297" s="219"/>
      <c r="J297" s="217"/>
      <c r="K297" s="250"/>
      <c r="L297" s="217"/>
      <c r="M297" s="494"/>
      <c r="N297" s="535"/>
      <c r="O297" s="221"/>
      <c r="P297" s="220"/>
      <c r="Q297" s="381">
        <v>1</v>
      </c>
      <c r="R297" s="222">
        <f>SUM(S297,T297,U297,V297)</f>
        <v>0</v>
      </c>
      <c r="S297" s="222"/>
      <c r="T297" s="222"/>
      <c r="U297" s="222"/>
      <c r="V297" s="222"/>
      <c r="AC297" s="414"/>
      <c r="AD297" s="471"/>
    </row>
    <row r="298" spans="1:30" ht="15.6" outlineLevel="1" x14ac:dyDescent="0.3">
      <c r="A298" s="264" t="s">
        <v>563</v>
      </c>
      <c r="B298" s="208">
        <f>$W$1</f>
        <v>2024</v>
      </c>
      <c r="C298" s="304"/>
      <c r="D298" s="218"/>
      <c r="E298" s="217" t="s">
        <v>541</v>
      </c>
      <c r="F298" s="280" t="s">
        <v>519</v>
      </c>
      <c r="G298" s="315">
        <v>0.2167</v>
      </c>
      <c r="H298" s="208" t="s">
        <v>520</v>
      </c>
      <c r="I298" s="219"/>
      <c r="J298" s="217"/>
      <c r="K298" s="250"/>
      <c r="L298" s="217"/>
      <c r="M298" s="494"/>
      <c r="N298" s="535"/>
      <c r="O298" s="221"/>
      <c r="P298" s="220"/>
      <c r="Q298" s="381">
        <v>8</v>
      </c>
      <c r="R298" s="222">
        <f>SUM(S298,T298,U298,V298)</f>
        <v>0</v>
      </c>
      <c r="S298" s="222"/>
      <c r="T298" s="222"/>
      <c r="U298" s="222"/>
      <c r="V298" s="222"/>
    </row>
    <row r="299" spans="1:30" ht="16.2" outlineLevel="1" x14ac:dyDescent="0.35">
      <c r="A299" s="231" t="s">
        <v>694</v>
      </c>
      <c r="B299" s="232"/>
      <c r="C299" s="232"/>
      <c r="D299" s="303"/>
      <c r="E299" s="232"/>
      <c r="F299" s="259"/>
      <c r="G299" s="397"/>
      <c r="H299" s="260"/>
      <c r="I299" s="258"/>
      <c r="J299" s="232"/>
      <c r="K299" s="282"/>
      <c r="L299" s="232"/>
      <c r="M299" s="495"/>
      <c r="N299" s="536"/>
      <c r="O299" s="234">
        <v>244</v>
      </c>
      <c r="P299" s="233">
        <v>225</v>
      </c>
      <c r="Q299" s="381"/>
      <c r="R299" s="263">
        <f>SUM(R300:R301)</f>
        <v>0</v>
      </c>
      <c r="S299" s="263">
        <f>SUM(S300:S301)</f>
        <v>0</v>
      </c>
      <c r="T299" s="263">
        <f>SUM(T300:T301)</f>
        <v>0</v>
      </c>
      <c r="U299" s="263">
        <f>SUM(U300:U301)</f>
        <v>0</v>
      </c>
      <c r="V299" s="263">
        <f>SUM(V300:V301)</f>
        <v>0</v>
      </c>
    </row>
    <row r="300" spans="1:30" s="283" customFormat="1" ht="15.6" outlineLevel="1" x14ac:dyDescent="0.3">
      <c r="A300" s="264" t="s">
        <v>560</v>
      </c>
      <c r="B300" s="208">
        <f>$W$2</f>
        <v>2023</v>
      </c>
      <c r="C300" s="304"/>
      <c r="D300" s="218"/>
      <c r="E300" s="217" t="s">
        <v>541</v>
      </c>
      <c r="F300" s="280" t="s">
        <v>519</v>
      </c>
      <c r="G300" s="315">
        <v>0.31330000000000002</v>
      </c>
      <c r="H300" s="208" t="s">
        <v>520</v>
      </c>
      <c r="I300" s="219"/>
      <c r="J300" s="217"/>
      <c r="K300" s="250"/>
      <c r="L300" s="217"/>
      <c r="M300" s="494"/>
      <c r="N300" s="535"/>
      <c r="O300" s="221"/>
      <c r="P300" s="220"/>
      <c r="Q300" s="381">
        <v>1</v>
      </c>
      <c r="R300" s="222">
        <f>SUM(S300,T300,U300,V300)</f>
        <v>0</v>
      </c>
      <c r="S300" s="222"/>
      <c r="T300" s="222"/>
      <c r="U300" s="222"/>
      <c r="V300" s="222"/>
      <c r="AC300" s="414"/>
      <c r="AD300" s="471"/>
    </row>
    <row r="301" spans="1:30" ht="15.6" outlineLevel="1" x14ac:dyDescent="0.3">
      <c r="A301" s="264" t="s">
        <v>563</v>
      </c>
      <c r="B301" s="208">
        <f>$W$1</f>
        <v>2024</v>
      </c>
      <c r="C301" s="304"/>
      <c r="D301" s="218"/>
      <c r="E301" s="217" t="s">
        <v>541</v>
      </c>
      <c r="F301" s="280" t="s">
        <v>519</v>
      </c>
      <c r="G301" s="315">
        <v>0.31330000000000002</v>
      </c>
      <c r="H301" s="208" t="s">
        <v>520</v>
      </c>
      <c r="I301" s="219"/>
      <c r="J301" s="217"/>
      <c r="K301" s="250"/>
      <c r="L301" s="217"/>
      <c r="M301" s="494"/>
      <c r="N301" s="535"/>
      <c r="O301" s="221"/>
      <c r="P301" s="220"/>
      <c r="Q301" s="381">
        <v>8</v>
      </c>
      <c r="R301" s="222">
        <f>SUM(S301,T301,U301,V301)</f>
        <v>0</v>
      </c>
      <c r="S301" s="222"/>
      <c r="T301" s="222"/>
      <c r="U301" s="222"/>
      <c r="V301" s="222"/>
    </row>
    <row r="302" spans="1:30" ht="16.2" outlineLevel="1" x14ac:dyDescent="0.35">
      <c r="A302" s="231" t="s">
        <v>695</v>
      </c>
      <c r="B302" s="232"/>
      <c r="C302" s="232"/>
      <c r="D302" s="303"/>
      <c r="E302" s="232"/>
      <c r="F302" s="259"/>
      <c r="G302" s="397"/>
      <c r="H302" s="260"/>
      <c r="I302" s="258"/>
      <c r="J302" s="232"/>
      <c r="K302" s="282"/>
      <c r="L302" s="232"/>
      <c r="M302" s="495"/>
      <c r="N302" s="536"/>
      <c r="O302" s="234">
        <v>244</v>
      </c>
      <c r="P302" s="233">
        <v>225</v>
      </c>
      <c r="Q302" s="381"/>
      <c r="R302" s="263">
        <f>SUM(R303:R304)</f>
        <v>0</v>
      </c>
      <c r="S302" s="263">
        <f>SUM(S303:S304)</f>
        <v>0</v>
      </c>
      <c r="T302" s="263">
        <f>SUM(T303:T304)</f>
        <v>0</v>
      </c>
      <c r="U302" s="263">
        <f>SUM(U303:U304)</f>
        <v>0</v>
      </c>
      <c r="V302" s="263">
        <f>SUM(V303:V304)</f>
        <v>0</v>
      </c>
    </row>
    <row r="303" spans="1:30" s="283" customFormat="1" ht="15.6" outlineLevel="1" x14ac:dyDescent="0.3">
      <c r="A303" s="264" t="s">
        <v>560</v>
      </c>
      <c r="B303" s="208">
        <f>$W$2</f>
        <v>2023</v>
      </c>
      <c r="C303" s="304"/>
      <c r="D303" s="218"/>
      <c r="E303" s="217" t="s">
        <v>541</v>
      </c>
      <c r="F303" s="280" t="s">
        <v>519</v>
      </c>
      <c r="G303" s="315">
        <v>0.19</v>
      </c>
      <c r="H303" s="208" t="s">
        <v>520</v>
      </c>
      <c r="I303" s="219"/>
      <c r="J303" s="217"/>
      <c r="K303" s="250"/>
      <c r="L303" s="217"/>
      <c r="M303" s="494"/>
      <c r="N303" s="535"/>
      <c r="O303" s="221"/>
      <c r="P303" s="220"/>
      <c r="Q303" s="381">
        <v>1</v>
      </c>
      <c r="R303" s="222">
        <f>SUM(S303,T303,U303,V303)</f>
        <v>0</v>
      </c>
      <c r="S303" s="222"/>
      <c r="T303" s="222"/>
      <c r="U303" s="222"/>
      <c r="V303" s="222"/>
      <c r="AC303" s="414"/>
      <c r="AD303" s="471"/>
    </row>
    <row r="304" spans="1:30" ht="15.6" outlineLevel="1" x14ac:dyDescent="0.3">
      <c r="A304" s="264" t="s">
        <v>563</v>
      </c>
      <c r="B304" s="208">
        <f>$W$1</f>
        <v>2024</v>
      </c>
      <c r="C304" s="304"/>
      <c r="D304" s="218"/>
      <c r="E304" s="217" t="s">
        <v>541</v>
      </c>
      <c r="F304" s="280" t="s">
        <v>519</v>
      </c>
      <c r="G304" s="315">
        <v>0.19</v>
      </c>
      <c r="H304" s="208" t="s">
        <v>520</v>
      </c>
      <c r="I304" s="219"/>
      <c r="J304" s="217"/>
      <c r="K304" s="250"/>
      <c r="L304" s="217"/>
      <c r="M304" s="494"/>
      <c r="N304" s="535"/>
      <c r="O304" s="221"/>
      <c r="P304" s="220"/>
      <c r="Q304" s="381">
        <v>8</v>
      </c>
      <c r="R304" s="222">
        <f>SUM(S304,T304,U304,V304)</f>
        <v>0</v>
      </c>
      <c r="S304" s="222"/>
      <c r="T304" s="222"/>
      <c r="U304" s="222"/>
      <c r="V304" s="222"/>
    </row>
    <row r="305" spans="1:32" ht="16.2" outlineLevel="1" x14ac:dyDescent="0.35">
      <c r="A305" s="231" t="s">
        <v>696</v>
      </c>
      <c r="B305" s="232"/>
      <c r="C305" s="232"/>
      <c r="D305" s="303"/>
      <c r="E305" s="232"/>
      <c r="F305" s="259"/>
      <c r="G305" s="397"/>
      <c r="H305" s="260"/>
      <c r="I305" s="258"/>
      <c r="J305" s="232"/>
      <c r="K305" s="282"/>
      <c r="L305" s="232"/>
      <c r="M305" s="495"/>
      <c r="N305" s="536"/>
      <c r="O305" s="234">
        <v>244</v>
      </c>
      <c r="P305" s="233">
        <v>225</v>
      </c>
      <c r="Q305" s="381"/>
      <c r="R305" s="263">
        <f>SUM(R306:R307)</f>
        <v>0</v>
      </c>
      <c r="S305" s="263">
        <f>SUM(S306:S307)</f>
        <v>0</v>
      </c>
      <c r="T305" s="263">
        <f>SUM(T306:T307)</f>
        <v>0</v>
      </c>
      <c r="U305" s="263">
        <f>SUM(U306:U307)</f>
        <v>0</v>
      </c>
      <c r="V305" s="263">
        <f>SUM(V306:V307)</f>
        <v>0</v>
      </c>
    </row>
    <row r="306" spans="1:32" s="283" customFormat="1" ht="15.6" outlineLevel="1" x14ac:dyDescent="0.3">
      <c r="A306" s="264" t="s">
        <v>560</v>
      </c>
      <c r="B306" s="208">
        <f>$W$2</f>
        <v>2023</v>
      </c>
      <c r="C306" s="304"/>
      <c r="D306" s="218"/>
      <c r="E306" s="217" t="s">
        <v>541</v>
      </c>
      <c r="F306" s="280" t="s">
        <v>519</v>
      </c>
      <c r="G306" s="315">
        <v>0.24</v>
      </c>
      <c r="H306" s="208" t="s">
        <v>520</v>
      </c>
      <c r="I306" s="219"/>
      <c r="J306" s="217"/>
      <c r="K306" s="250"/>
      <c r="L306" s="217"/>
      <c r="M306" s="494"/>
      <c r="N306" s="535"/>
      <c r="O306" s="221"/>
      <c r="P306" s="220"/>
      <c r="Q306" s="381">
        <v>1</v>
      </c>
      <c r="R306" s="222">
        <f>SUM(S306,T306,U306,V306)</f>
        <v>0</v>
      </c>
      <c r="S306" s="222"/>
      <c r="T306" s="222"/>
      <c r="U306" s="222"/>
      <c r="V306" s="222"/>
      <c r="AC306" s="414"/>
      <c r="AD306" s="471"/>
    </row>
    <row r="307" spans="1:32" ht="15.6" outlineLevel="1" x14ac:dyDescent="0.3">
      <c r="A307" s="264" t="s">
        <v>563</v>
      </c>
      <c r="B307" s="208">
        <f>$W$1</f>
        <v>2024</v>
      </c>
      <c r="C307" s="304"/>
      <c r="D307" s="218"/>
      <c r="E307" s="217" t="s">
        <v>541</v>
      </c>
      <c r="F307" s="280" t="s">
        <v>519</v>
      </c>
      <c r="G307" s="315">
        <v>0.24</v>
      </c>
      <c r="H307" s="208" t="s">
        <v>520</v>
      </c>
      <c r="I307" s="219"/>
      <c r="J307" s="217"/>
      <c r="K307" s="250"/>
      <c r="L307" s="217"/>
      <c r="M307" s="494"/>
      <c r="N307" s="535"/>
      <c r="O307" s="221"/>
      <c r="P307" s="220"/>
      <c r="Q307" s="381">
        <v>8</v>
      </c>
      <c r="R307" s="222">
        <f>SUM(S307,T307,U307,V307)</f>
        <v>0</v>
      </c>
      <c r="S307" s="222"/>
      <c r="T307" s="222"/>
      <c r="U307" s="222"/>
      <c r="V307" s="222"/>
    </row>
    <row r="308" spans="1:32" ht="16.2" x14ac:dyDescent="0.35">
      <c r="A308" s="231" t="s">
        <v>888</v>
      </c>
      <c r="B308" s="232"/>
      <c r="C308" s="232"/>
      <c r="D308" s="303"/>
      <c r="E308" s="232"/>
      <c r="F308" s="259"/>
      <c r="G308" s="232"/>
      <c r="H308" s="260"/>
      <c r="I308" s="258"/>
      <c r="J308" s="232"/>
      <c r="K308" s="282"/>
      <c r="L308" s="232"/>
      <c r="M308" s="495"/>
      <c r="N308" s="536"/>
      <c r="O308" s="234">
        <v>244</v>
      </c>
      <c r="P308" s="233">
        <v>225</v>
      </c>
      <c r="Q308" s="381"/>
      <c r="R308" s="229">
        <f>SUM(R309)</f>
        <v>0</v>
      </c>
      <c r="S308" s="229">
        <f>SUM(S309)</f>
        <v>0</v>
      </c>
      <c r="T308" s="229">
        <f>SUM(T309)</f>
        <v>0</v>
      </c>
      <c r="U308" s="229">
        <f>SUM(U309)</f>
        <v>0</v>
      </c>
      <c r="V308" s="229">
        <f>SUM(V309)</f>
        <v>0</v>
      </c>
    </row>
    <row r="309" spans="1:32" s="283" customFormat="1" ht="15.6" outlineLevel="1" x14ac:dyDescent="0.3">
      <c r="A309" s="216"/>
      <c r="B309" s="217"/>
      <c r="C309" s="217"/>
      <c r="D309" s="218"/>
      <c r="E309" s="217" t="s">
        <v>574</v>
      </c>
      <c r="F309" s="280" t="s">
        <v>519</v>
      </c>
      <c r="G309" s="218">
        <v>7500</v>
      </c>
      <c r="H309" s="208" t="s">
        <v>520</v>
      </c>
      <c r="I309" s="219"/>
      <c r="J309" s="217"/>
      <c r="K309" s="250"/>
      <c r="L309" s="217"/>
      <c r="M309" s="494"/>
      <c r="N309" s="535"/>
      <c r="O309" s="221"/>
      <c r="P309" s="220"/>
      <c r="Q309" s="381"/>
      <c r="R309" s="222">
        <f>SUM(S309,T309,U309,V309)</f>
        <v>0</v>
      </c>
      <c r="S309" s="222"/>
      <c r="T309" s="222"/>
      <c r="U309" s="222"/>
      <c r="V309" s="222"/>
      <c r="AC309" s="414"/>
      <c r="AD309" s="471"/>
    </row>
    <row r="310" spans="1:32" ht="16.2" x14ac:dyDescent="0.35">
      <c r="A310" s="231" t="s">
        <v>607</v>
      </c>
      <c r="B310" s="232"/>
      <c r="C310" s="232"/>
      <c r="D310" s="303"/>
      <c r="E310" s="232"/>
      <c r="F310" s="259"/>
      <c r="G310" s="232"/>
      <c r="H310" s="260"/>
      <c r="I310" s="258"/>
      <c r="J310" s="232"/>
      <c r="K310" s="251"/>
      <c r="L310" s="486"/>
      <c r="M310" s="536" t="s">
        <v>759</v>
      </c>
      <c r="N310" s="536" t="s">
        <v>871</v>
      </c>
      <c r="O310" s="234">
        <v>244</v>
      </c>
      <c r="P310" s="233">
        <v>225</v>
      </c>
      <c r="Q310" s="385"/>
      <c r="R310" s="263">
        <f>SUM(R311:R313)</f>
        <v>0</v>
      </c>
      <c r="S310" s="263">
        <f>SUM(S311:S313)</f>
        <v>0</v>
      </c>
      <c r="T310" s="263">
        <f>SUM(T311:T313)</f>
        <v>0</v>
      </c>
      <c r="U310" s="263">
        <f>SUM(U311:U313)</f>
        <v>0</v>
      </c>
      <c r="V310" s="263">
        <f>SUM(V311:V313)</f>
        <v>0</v>
      </c>
      <c r="AD310" s="477"/>
      <c r="AE310" s="409"/>
      <c r="AF310" s="109"/>
    </row>
    <row r="311" spans="1:32" s="45" customFormat="1" ht="15.6" outlineLevel="1" x14ac:dyDescent="0.3">
      <c r="A311" s="264" t="s">
        <v>560</v>
      </c>
      <c r="B311" s="208">
        <f>$W$2</f>
        <v>2023</v>
      </c>
      <c r="C311" s="218"/>
      <c r="D311" s="218"/>
      <c r="E311" s="208" t="s">
        <v>520</v>
      </c>
      <c r="F311" s="280" t="s">
        <v>519</v>
      </c>
      <c r="G311" s="400"/>
      <c r="H311" s="578"/>
      <c r="I311" s="217" t="s">
        <v>608</v>
      </c>
      <c r="J311" s="217"/>
      <c r="K311" s="337"/>
      <c r="L311" s="217" t="s">
        <v>578</v>
      </c>
      <c r="M311" s="507"/>
      <c r="N311" s="537"/>
      <c r="O311" s="319"/>
      <c r="P311" s="320"/>
      <c r="Q311" s="381">
        <v>1</v>
      </c>
      <c r="R311" s="222">
        <f>SUM(S311,T311,U311,V311)</f>
        <v>0</v>
      </c>
      <c r="S311" s="222"/>
      <c r="T311" s="222"/>
      <c r="U311" s="222"/>
      <c r="V311" s="222"/>
      <c r="AB311" s="63"/>
      <c r="AC311" s="414"/>
      <c r="AD311" s="471"/>
    </row>
    <row r="312" spans="1:32" ht="15.6" outlineLevel="1" x14ac:dyDescent="0.3">
      <c r="A312" s="264" t="s">
        <v>868</v>
      </c>
      <c r="B312" s="208">
        <f>$W$1</f>
        <v>2024</v>
      </c>
      <c r="C312" s="218"/>
      <c r="D312" s="218"/>
      <c r="E312" s="208" t="s">
        <v>520</v>
      </c>
      <c r="F312" s="280" t="s">
        <v>519</v>
      </c>
      <c r="G312" s="400"/>
      <c r="H312" s="578"/>
      <c r="I312" s="217" t="s">
        <v>608</v>
      </c>
      <c r="J312" s="217"/>
      <c r="K312" s="337"/>
      <c r="L312" s="217" t="s">
        <v>578</v>
      </c>
      <c r="M312" s="507"/>
      <c r="N312" s="537"/>
      <c r="O312" s="319"/>
      <c r="P312" s="320"/>
      <c r="Q312" s="381">
        <v>9</v>
      </c>
      <c r="R312" s="222">
        <f>SUM(S312,T312,U312,V312)</f>
        <v>0</v>
      </c>
      <c r="S312" s="222"/>
      <c r="T312" s="222"/>
      <c r="U312" s="222"/>
      <c r="V312" s="222"/>
    </row>
    <row r="313" spans="1:32" ht="15.6" outlineLevel="1" x14ac:dyDescent="0.3">
      <c r="A313" s="264" t="s">
        <v>869</v>
      </c>
      <c r="B313" s="208">
        <f>$W$1</f>
        <v>2024</v>
      </c>
      <c r="C313" s="218"/>
      <c r="D313" s="218"/>
      <c r="E313" s="208" t="s">
        <v>520</v>
      </c>
      <c r="F313" s="280" t="s">
        <v>519</v>
      </c>
      <c r="G313" s="400"/>
      <c r="H313" s="578"/>
      <c r="I313" s="217" t="s">
        <v>608</v>
      </c>
      <c r="J313" s="217"/>
      <c r="K313" s="337"/>
      <c r="L313" s="217" t="s">
        <v>578</v>
      </c>
      <c r="M313" s="507"/>
      <c r="N313" s="537"/>
      <c r="O313" s="319"/>
      <c r="P313" s="320"/>
      <c r="Q313" s="381">
        <v>2</v>
      </c>
      <c r="R313" s="222">
        <f>SUM(S313,T313,U313,V313)</f>
        <v>0</v>
      </c>
      <c r="S313" s="222"/>
      <c r="T313" s="222"/>
      <c r="U313" s="222"/>
      <c r="V313" s="222"/>
    </row>
    <row r="314" spans="1:32" ht="16.2" x14ac:dyDescent="0.35">
      <c r="A314" s="231" t="s">
        <v>760</v>
      </c>
      <c r="B314" s="232"/>
      <c r="C314" s="232"/>
      <c r="D314" s="303"/>
      <c r="E314" s="232"/>
      <c r="F314" s="259"/>
      <c r="G314" s="232"/>
      <c r="H314" s="260"/>
      <c r="I314" s="258"/>
      <c r="J314" s="232"/>
      <c r="K314" s="251"/>
      <c r="L314" s="232"/>
      <c r="M314" s="495" t="s">
        <v>761</v>
      </c>
      <c r="N314" s="536" t="s">
        <v>249</v>
      </c>
      <c r="O314" s="234">
        <v>244</v>
      </c>
      <c r="P314" s="233">
        <v>225</v>
      </c>
      <c r="Q314" s="381"/>
      <c r="R314" s="263">
        <f>SUM(R315:R317)</f>
        <v>0</v>
      </c>
      <c r="S314" s="263">
        <f>SUM(S315:S317)</f>
        <v>0</v>
      </c>
      <c r="T314" s="263">
        <f>SUM(T315:T317)</f>
        <v>0</v>
      </c>
      <c r="U314" s="263">
        <f>SUM(U315:U317)</f>
        <v>0</v>
      </c>
      <c r="V314" s="263">
        <f>SUM(V315:V317)</f>
        <v>0</v>
      </c>
      <c r="AD314" s="414"/>
      <c r="AE314" s="50"/>
      <c r="AF314" s="50"/>
    </row>
    <row r="315" spans="1:32" s="45" customFormat="1" ht="15.6" outlineLevel="1" x14ac:dyDescent="0.3">
      <c r="A315" s="264" t="s">
        <v>560</v>
      </c>
      <c r="B315" s="208">
        <f>$W$2</f>
        <v>2023</v>
      </c>
      <c r="C315" s="304"/>
      <c r="D315" s="218"/>
      <c r="E315" s="208" t="s">
        <v>520</v>
      </c>
      <c r="F315" s="280" t="s">
        <v>519</v>
      </c>
      <c r="G315" s="218"/>
      <c r="H315" s="217" t="s">
        <v>609</v>
      </c>
      <c r="I315" s="219"/>
      <c r="J315" s="217"/>
      <c r="K315" s="250"/>
      <c r="L315" s="217"/>
      <c r="M315" s="494"/>
      <c r="N315" s="535"/>
      <c r="O315" s="221"/>
      <c r="P315" s="220"/>
      <c r="Q315" s="381">
        <v>1</v>
      </c>
      <c r="R315" s="222">
        <f>SUM(S315,T315,U315,V315)</f>
        <v>0</v>
      </c>
      <c r="S315" s="222"/>
      <c r="T315" s="222"/>
      <c r="U315" s="222"/>
      <c r="V315" s="222"/>
      <c r="AC315" s="414"/>
      <c r="AD315" s="471"/>
    </row>
    <row r="316" spans="1:32" ht="15.6" outlineLevel="1" x14ac:dyDescent="0.3">
      <c r="A316" s="264" t="s">
        <v>586</v>
      </c>
      <c r="B316" s="208">
        <f>$W$1</f>
        <v>2024</v>
      </c>
      <c r="C316" s="304"/>
      <c r="D316" s="218"/>
      <c r="E316" s="208" t="s">
        <v>520</v>
      </c>
      <c r="F316" s="280" t="s">
        <v>519</v>
      </c>
      <c r="G316" s="218"/>
      <c r="H316" s="217" t="s">
        <v>609</v>
      </c>
      <c r="I316" s="219"/>
      <c r="J316" s="217"/>
      <c r="K316" s="250"/>
      <c r="L316" s="217"/>
      <c r="M316" s="494"/>
      <c r="N316" s="535"/>
      <c r="O316" s="221"/>
      <c r="P316" s="220"/>
      <c r="Q316" s="381">
        <v>8</v>
      </c>
      <c r="R316" s="222">
        <f>SUM(S316,T316,U316,V316)</f>
        <v>0</v>
      </c>
      <c r="S316" s="222"/>
      <c r="T316" s="222"/>
      <c r="U316" s="222"/>
      <c r="V316" s="222"/>
    </row>
    <row r="317" spans="1:32" ht="15.6" outlineLevel="1" x14ac:dyDescent="0.3">
      <c r="A317" s="264" t="s">
        <v>692</v>
      </c>
      <c r="B317" s="208">
        <f>$W$1</f>
        <v>2024</v>
      </c>
      <c r="C317" s="304"/>
      <c r="D317" s="218"/>
      <c r="E317" s="208" t="s">
        <v>520</v>
      </c>
      <c r="F317" s="280" t="s">
        <v>519</v>
      </c>
      <c r="G317" s="218"/>
      <c r="H317" s="217" t="s">
        <v>609</v>
      </c>
      <c r="I317" s="219"/>
      <c r="J317" s="217"/>
      <c r="K317" s="250"/>
      <c r="L317" s="217"/>
      <c r="M317" s="494"/>
      <c r="N317" s="535"/>
      <c r="O317" s="221"/>
      <c r="P317" s="220"/>
      <c r="Q317" s="381"/>
      <c r="R317" s="222">
        <f>SUM(S317,T317,U317,V317)</f>
        <v>0</v>
      </c>
      <c r="S317" s="222"/>
      <c r="T317" s="222"/>
      <c r="U317" s="222"/>
      <c r="V317" s="222"/>
    </row>
    <row r="318" spans="1:32" ht="16.2" x14ac:dyDescent="0.35">
      <c r="A318" s="231" t="s">
        <v>610</v>
      </c>
      <c r="B318" s="232"/>
      <c r="C318" s="232"/>
      <c r="D318" s="303"/>
      <c r="E318" s="232"/>
      <c r="F318" s="232"/>
      <c r="G318" s="303"/>
      <c r="H318" s="232"/>
      <c r="I318" s="316"/>
      <c r="J318" s="232"/>
      <c r="K318" s="282"/>
      <c r="L318" s="232"/>
      <c r="M318" s="495"/>
      <c r="N318" s="536" t="s">
        <v>279</v>
      </c>
      <c r="O318" s="234">
        <v>244</v>
      </c>
      <c r="P318" s="233">
        <v>225</v>
      </c>
      <c r="Q318" s="381"/>
      <c r="R318" s="229">
        <f>SUM(R319,R322,R326)</f>
        <v>0</v>
      </c>
      <c r="S318" s="229">
        <f>SUM(S319,S322,S326)</f>
        <v>0</v>
      </c>
      <c r="T318" s="229">
        <f>SUM(T319,T322,T326)</f>
        <v>0</v>
      </c>
      <c r="U318" s="229">
        <f>SUM(U319,U322,U326)</f>
        <v>0</v>
      </c>
      <c r="V318" s="229">
        <f>SUM(V319,V322,V326)</f>
        <v>0</v>
      </c>
    </row>
    <row r="319" spans="1:32" s="283" customFormat="1" ht="16.2" outlineLevel="1" x14ac:dyDescent="0.35">
      <c r="A319" s="321" t="s">
        <v>611</v>
      </c>
      <c r="B319" s="322"/>
      <c r="C319" s="323"/>
      <c r="D319" s="303"/>
      <c r="E319" s="232"/>
      <c r="F319" s="259"/>
      <c r="G319" s="232"/>
      <c r="H319" s="260"/>
      <c r="I319" s="258"/>
      <c r="J319" s="232"/>
      <c r="K319" s="282"/>
      <c r="L319" s="232"/>
      <c r="M319" s="495"/>
      <c r="N319" s="536"/>
      <c r="O319" s="234">
        <v>244</v>
      </c>
      <c r="P319" s="233">
        <v>225</v>
      </c>
      <c r="Q319" s="381"/>
      <c r="R319" s="263">
        <f>SUM(R320:R321)</f>
        <v>0</v>
      </c>
      <c r="S319" s="263">
        <f>SUM(S320:S321)</f>
        <v>0</v>
      </c>
      <c r="T319" s="263">
        <f>SUM(T320:T321)</f>
        <v>0</v>
      </c>
      <c r="U319" s="263">
        <f>SUM(U320:U321)</f>
        <v>0</v>
      </c>
      <c r="V319" s="263">
        <f>SUM(V320:V321)</f>
        <v>0</v>
      </c>
      <c r="AC319" s="282"/>
      <c r="AD319" s="282"/>
    </row>
    <row r="320" spans="1:32" s="283" customFormat="1" ht="16.2" outlineLevel="1" x14ac:dyDescent="0.35">
      <c r="A320" s="264" t="s">
        <v>560</v>
      </c>
      <c r="B320" s="208">
        <f>$W$2</f>
        <v>2023</v>
      </c>
      <c r="C320" s="590"/>
      <c r="D320" s="218"/>
      <c r="E320" s="217" t="s">
        <v>574</v>
      </c>
      <c r="F320" s="280" t="s">
        <v>519</v>
      </c>
      <c r="G320" s="218">
        <f>1375/5</f>
        <v>275</v>
      </c>
      <c r="H320" s="208" t="s">
        <v>520</v>
      </c>
      <c r="I320" s="316"/>
      <c r="J320" s="232"/>
      <c r="K320" s="282"/>
      <c r="L320" s="232"/>
      <c r="M320" s="495"/>
      <c r="N320" s="536"/>
      <c r="O320" s="234"/>
      <c r="P320" s="233"/>
      <c r="Q320" s="381"/>
      <c r="R320" s="222">
        <f>SUM(S320,T320,U320,V320)</f>
        <v>0</v>
      </c>
      <c r="S320" s="222"/>
      <c r="T320" s="222"/>
      <c r="U320" s="222"/>
      <c r="V320" s="222"/>
      <c r="AC320" s="414"/>
      <c r="AD320" s="471"/>
    </row>
    <row r="321" spans="1:30" s="283" customFormat="1" ht="16.2" outlineLevel="1" x14ac:dyDescent="0.35">
      <c r="A321" s="264" t="s">
        <v>563</v>
      </c>
      <c r="B321" s="208">
        <f>$W$1</f>
        <v>2024</v>
      </c>
      <c r="C321" s="218"/>
      <c r="D321" s="218"/>
      <c r="E321" s="217" t="s">
        <v>574</v>
      </c>
      <c r="F321" s="280" t="s">
        <v>519</v>
      </c>
      <c r="G321" s="218">
        <v>275</v>
      </c>
      <c r="H321" s="208" t="s">
        <v>520</v>
      </c>
      <c r="I321" s="218">
        <v>267</v>
      </c>
      <c r="J321" s="208" t="s">
        <v>520</v>
      </c>
      <c r="K321" s="218">
        <v>275</v>
      </c>
      <c r="L321" s="208" t="s">
        <v>520</v>
      </c>
      <c r="M321" s="495"/>
      <c r="N321" s="536"/>
      <c r="O321" s="234"/>
      <c r="P321" s="233"/>
      <c r="Q321" s="381">
        <v>4</v>
      </c>
      <c r="R321" s="222">
        <f>SUM(S321,T321,U321,V321)</f>
        <v>0</v>
      </c>
      <c r="S321" s="222"/>
      <c r="T321" s="222"/>
      <c r="U321" s="222"/>
      <c r="V321" s="222"/>
      <c r="AC321" s="414"/>
      <c r="AD321" s="471"/>
    </row>
    <row r="322" spans="1:30" s="283" customFormat="1" ht="16.2" outlineLevel="1" x14ac:dyDescent="0.35">
      <c r="A322" s="321" t="s">
        <v>612</v>
      </c>
      <c r="B322" s="322"/>
      <c r="C322" s="323"/>
      <c r="D322" s="303"/>
      <c r="E322" s="232"/>
      <c r="F322" s="259"/>
      <c r="G322" s="232"/>
      <c r="H322" s="260"/>
      <c r="I322" s="258"/>
      <c r="J322" s="232"/>
      <c r="K322" s="282"/>
      <c r="L322" s="232"/>
      <c r="M322" s="495"/>
      <c r="N322" s="536"/>
      <c r="O322" s="234">
        <v>244</v>
      </c>
      <c r="P322" s="233">
        <v>225</v>
      </c>
      <c r="Q322" s="381"/>
      <c r="R322" s="263">
        <f>SUM(R323:R325)</f>
        <v>0</v>
      </c>
      <c r="S322" s="263">
        <f>SUM(S323:S325)</f>
        <v>0</v>
      </c>
      <c r="T322" s="263">
        <f>SUM(T323:T325)</f>
        <v>0</v>
      </c>
      <c r="U322" s="263">
        <f>SUM(U323:U325)</f>
        <v>0</v>
      </c>
      <c r="V322" s="263">
        <f>SUM(V323:V325)</f>
        <v>0</v>
      </c>
      <c r="AC322" s="414"/>
      <c r="AD322" s="471"/>
    </row>
    <row r="323" spans="1:30" s="283" customFormat="1" ht="16.2" outlineLevel="1" x14ac:dyDescent="0.35">
      <c r="A323" s="264" t="s">
        <v>560</v>
      </c>
      <c r="B323" s="208">
        <f>$W$2</f>
        <v>2023</v>
      </c>
      <c r="C323" s="323"/>
      <c r="D323" s="218"/>
      <c r="E323" s="217" t="s">
        <v>574</v>
      </c>
      <c r="F323" s="280" t="s">
        <v>519</v>
      </c>
      <c r="G323" s="218">
        <v>421.5</v>
      </c>
      <c r="H323" s="208" t="s">
        <v>520</v>
      </c>
      <c r="I323" s="316"/>
      <c r="J323" s="232"/>
      <c r="K323" s="282"/>
      <c r="L323" s="232"/>
      <c r="M323" s="495"/>
      <c r="N323" s="536"/>
      <c r="O323" s="234"/>
      <c r="P323" s="233"/>
      <c r="Q323" s="381">
        <v>1</v>
      </c>
      <c r="R323" s="222">
        <f>SUM(S323,T323,U323,V323)</f>
        <v>0</v>
      </c>
      <c r="S323" s="222"/>
      <c r="T323" s="222"/>
      <c r="U323" s="222"/>
      <c r="V323" s="222"/>
      <c r="AC323" s="414"/>
      <c r="AD323" s="471"/>
    </row>
    <row r="324" spans="1:30" s="283" customFormat="1" ht="16.2" outlineLevel="1" x14ac:dyDescent="0.35">
      <c r="A324" s="264" t="s">
        <v>857</v>
      </c>
      <c r="B324" s="208">
        <f>$W$1</f>
        <v>2024</v>
      </c>
      <c r="C324" s="323"/>
      <c r="D324" s="218"/>
      <c r="E324" s="217" t="s">
        <v>574</v>
      </c>
      <c r="F324" s="280" t="s">
        <v>519</v>
      </c>
      <c r="G324" s="218">
        <v>421.5</v>
      </c>
      <c r="H324" s="208" t="s">
        <v>520</v>
      </c>
      <c r="I324" s="316"/>
      <c r="J324" s="232"/>
      <c r="K324" s="282"/>
      <c r="L324" s="232"/>
      <c r="M324" s="495"/>
      <c r="N324" s="536"/>
      <c r="O324" s="234"/>
      <c r="P324" s="233"/>
      <c r="Q324" s="381">
        <v>2</v>
      </c>
      <c r="R324" s="222">
        <f>SUM(S324,T324,U324,V324)</f>
        <v>0</v>
      </c>
      <c r="S324" s="222"/>
      <c r="T324" s="222"/>
      <c r="U324" s="222"/>
      <c r="V324" s="222"/>
      <c r="AC324" s="414"/>
      <c r="AD324" s="471"/>
    </row>
    <row r="325" spans="1:30" s="283" customFormat="1" ht="16.2" outlineLevel="1" x14ac:dyDescent="0.35">
      <c r="A325" s="264" t="s">
        <v>858</v>
      </c>
      <c r="B325" s="208">
        <f>$W$1</f>
        <v>2024</v>
      </c>
      <c r="C325" s="323"/>
      <c r="D325" s="218"/>
      <c r="E325" s="217" t="s">
        <v>574</v>
      </c>
      <c r="F325" s="280" t="s">
        <v>519</v>
      </c>
      <c r="G325" s="218">
        <v>431.5</v>
      </c>
      <c r="H325" s="208" t="s">
        <v>520</v>
      </c>
      <c r="I325" s="316"/>
      <c r="J325" s="232"/>
      <c r="K325" s="282"/>
      <c r="L325" s="232"/>
      <c r="M325" s="495"/>
      <c r="N325" s="536"/>
      <c r="O325" s="234"/>
      <c r="P325" s="233"/>
      <c r="Q325" s="381">
        <v>6</v>
      </c>
      <c r="R325" s="222">
        <f>SUM(S325,T325,U325,V325)</f>
        <v>0</v>
      </c>
      <c r="S325" s="222"/>
      <c r="T325" s="222"/>
      <c r="U325" s="222"/>
      <c r="V325" s="222"/>
      <c r="AC325" s="414"/>
      <c r="AD325" s="471"/>
    </row>
    <row r="326" spans="1:30" s="283" customFormat="1" ht="16.2" outlineLevel="1" x14ac:dyDescent="0.35">
      <c r="A326" s="321" t="s">
        <v>613</v>
      </c>
      <c r="B326" s="322"/>
      <c r="C326" s="323"/>
      <c r="D326" s="303"/>
      <c r="E326" s="232"/>
      <c r="F326" s="259"/>
      <c r="G326" s="232"/>
      <c r="H326" s="260"/>
      <c r="I326" s="258"/>
      <c r="J326" s="232"/>
      <c r="K326" s="251"/>
      <c r="L326" s="232"/>
      <c r="M326" s="495"/>
      <c r="N326" s="536"/>
      <c r="O326" s="234">
        <v>244</v>
      </c>
      <c r="P326" s="233">
        <v>225</v>
      </c>
      <c r="Q326" s="381"/>
      <c r="R326" s="263">
        <f>SUM(R327:R328)</f>
        <v>0</v>
      </c>
      <c r="S326" s="263">
        <f>SUM(S327:S328)</f>
        <v>0</v>
      </c>
      <c r="T326" s="263">
        <f>SUM(T327:T328)</f>
        <v>0</v>
      </c>
      <c r="U326" s="263">
        <f>SUM(U327:U328)</f>
        <v>0</v>
      </c>
      <c r="V326" s="263">
        <f>SUM(V327:V328)</f>
        <v>0</v>
      </c>
      <c r="AC326" s="414"/>
      <c r="AD326" s="471"/>
    </row>
    <row r="327" spans="1:30" s="45" customFormat="1" ht="15.6" outlineLevel="1" x14ac:dyDescent="0.3">
      <c r="A327" s="264" t="s">
        <v>560</v>
      </c>
      <c r="B327" s="208">
        <f>$W$2</f>
        <v>2023</v>
      </c>
      <c r="C327" s="323"/>
      <c r="D327" s="218"/>
      <c r="E327" s="217" t="s">
        <v>574</v>
      </c>
      <c r="F327" s="280" t="s">
        <v>519</v>
      </c>
      <c r="G327" s="218">
        <v>206</v>
      </c>
      <c r="H327" s="208" t="s">
        <v>520</v>
      </c>
      <c r="I327" s="219"/>
      <c r="J327" s="217"/>
      <c r="K327" s="250"/>
      <c r="L327" s="217"/>
      <c r="M327" s="494"/>
      <c r="N327" s="535"/>
      <c r="O327" s="221"/>
      <c r="P327" s="220"/>
      <c r="Q327" s="381">
        <v>1</v>
      </c>
      <c r="R327" s="222">
        <f>SUM(S327,T327,U327,V327)</f>
        <v>0</v>
      </c>
      <c r="S327" s="222"/>
      <c r="T327" s="222"/>
      <c r="U327" s="222"/>
      <c r="V327" s="222"/>
      <c r="AC327" s="414"/>
      <c r="AD327" s="471"/>
    </row>
    <row r="328" spans="1:30" ht="15.6" outlineLevel="1" x14ac:dyDescent="0.3">
      <c r="A328" s="264" t="s">
        <v>563</v>
      </c>
      <c r="B328" s="208">
        <f>$W$1</f>
        <v>2024</v>
      </c>
      <c r="C328" s="323"/>
      <c r="D328" s="218"/>
      <c r="E328" s="217" t="s">
        <v>574</v>
      </c>
      <c r="F328" s="280" t="s">
        <v>519</v>
      </c>
      <c r="G328" s="218">
        <f>2472/12</f>
        <v>206</v>
      </c>
      <c r="H328" s="208" t="s">
        <v>520</v>
      </c>
      <c r="I328" s="219"/>
      <c r="J328" s="217"/>
      <c r="K328" s="250"/>
      <c r="L328" s="217"/>
      <c r="M328" s="494"/>
      <c r="N328" s="535"/>
      <c r="O328" s="221"/>
      <c r="P328" s="220"/>
      <c r="Q328" s="381">
        <v>8</v>
      </c>
      <c r="R328" s="222">
        <f>SUM(S328,T328,U328,V328)</f>
        <v>0</v>
      </c>
      <c r="S328" s="222"/>
      <c r="T328" s="222"/>
      <c r="U328" s="222"/>
      <c r="V328" s="222"/>
    </row>
    <row r="329" spans="1:30" ht="16.2" x14ac:dyDescent="0.35">
      <c r="A329" s="231" t="s">
        <v>614</v>
      </c>
      <c r="B329" s="232"/>
      <c r="C329" s="232"/>
      <c r="D329" s="303"/>
      <c r="E329" s="232"/>
      <c r="F329" s="259"/>
      <c r="G329" s="232"/>
      <c r="H329" s="260"/>
      <c r="I329" s="258"/>
      <c r="J329" s="232"/>
      <c r="K329" s="282"/>
      <c r="L329" s="232"/>
      <c r="M329" s="495"/>
      <c r="N329" s="536" t="s">
        <v>249</v>
      </c>
      <c r="O329" s="234">
        <v>244</v>
      </c>
      <c r="P329" s="233">
        <v>225</v>
      </c>
      <c r="Q329" s="381"/>
      <c r="R329" s="229">
        <f>SUM(R330)</f>
        <v>0</v>
      </c>
      <c r="S329" s="229">
        <f>SUM(S330)</f>
        <v>0</v>
      </c>
      <c r="T329" s="229">
        <f>SUM(T330)</f>
        <v>0</v>
      </c>
      <c r="U329" s="229">
        <f>SUM(U330)</f>
        <v>0</v>
      </c>
      <c r="V329" s="229">
        <f>SUM(V330)</f>
        <v>0</v>
      </c>
    </row>
    <row r="330" spans="1:30" s="283" customFormat="1" ht="15.6" outlineLevel="1" x14ac:dyDescent="0.3">
      <c r="A330" s="216"/>
      <c r="B330" s="217"/>
      <c r="C330" s="217"/>
      <c r="D330" s="218"/>
      <c r="E330" s="217" t="s">
        <v>574</v>
      </c>
      <c r="F330" s="280" t="s">
        <v>519</v>
      </c>
      <c r="G330" s="218">
        <v>600</v>
      </c>
      <c r="H330" s="208" t="s">
        <v>520</v>
      </c>
      <c r="I330" s="219"/>
      <c r="J330" s="217"/>
      <c r="K330" s="250"/>
      <c r="L330" s="217"/>
      <c r="M330" s="494"/>
      <c r="N330" s="535"/>
      <c r="O330" s="221"/>
      <c r="P330" s="220"/>
      <c r="Q330" s="381"/>
      <c r="R330" s="222">
        <f>SUM(S330,T330,U330,V330)</f>
        <v>0</v>
      </c>
      <c r="S330" s="222"/>
      <c r="T330" s="222"/>
      <c r="U330" s="222"/>
      <c r="V330" s="222"/>
      <c r="AC330" s="414"/>
      <c r="AD330" s="471"/>
    </row>
    <row r="331" spans="1:30" ht="16.2" x14ac:dyDescent="0.35">
      <c r="A331" s="231" t="s">
        <v>818</v>
      </c>
      <c r="B331" s="232"/>
      <c r="C331" s="232"/>
      <c r="D331" s="303"/>
      <c r="E331" s="232"/>
      <c r="F331" s="259"/>
      <c r="G331" s="232"/>
      <c r="H331" s="260"/>
      <c r="I331" s="258"/>
      <c r="J331" s="232"/>
      <c r="K331" s="251"/>
      <c r="L331" s="232"/>
      <c r="M331" s="495"/>
      <c r="N331" s="536" t="s">
        <v>249</v>
      </c>
      <c r="O331" s="234">
        <v>244</v>
      </c>
      <c r="P331" s="233">
        <v>225</v>
      </c>
      <c r="Q331" s="381"/>
      <c r="R331" s="229">
        <f>SUM(R332)</f>
        <v>0</v>
      </c>
      <c r="S331" s="229">
        <f>SUM(S332)</f>
        <v>0</v>
      </c>
      <c r="T331" s="229">
        <f t="shared" ref="T331:V333" si="2">SUM(T332)</f>
        <v>0</v>
      </c>
      <c r="U331" s="229">
        <f t="shared" si="2"/>
        <v>0</v>
      </c>
      <c r="V331" s="229">
        <f t="shared" si="2"/>
        <v>0</v>
      </c>
    </row>
    <row r="332" spans="1:30" s="45" customFormat="1" ht="15.6" outlineLevel="1" x14ac:dyDescent="0.3">
      <c r="A332" s="216" t="s">
        <v>615</v>
      </c>
      <c r="B332" s="217"/>
      <c r="C332" s="217"/>
      <c r="D332" s="218"/>
      <c r="E332" s="217" t="s">
        <v>574</v>
      </c>
      <c r="F332" s="280" t="s">
        <v>519</v>
      </c>
      <c r="G332" s="218">
        <v>822</v>
      </c>
      <c r="H332" s="208" t="s">
        <v>520</v>
      </c>
      <c r="I332" s="219"/>
      <c r="J332" s="217"/>
      <c r="K332" s="250"/>
      <c r="L332" s="217"/>
      <c r="M332" s="494"/>
      <c r="N332" s="535"/>
      <c r="O332" s="221"/>
      <c r="P332" s="220"/>
      <c r="Q332" s="381"/>
      <c r="R332" s="222">
        <f>SUM(S332,T332,U332,V332)</f>
        <v>0</v>
      </c>
      <c r="S332" s="222"/>
      <c r="T332" s="222"/>
      <c r="U332" s="222"/>
      <c r="V332" s="222"/>
      <c r="AC332" s="414"/>
      <c r="AD332" s="471"/>
    </row>
    <row r="333" spans="1:30" ht="16.2" x14ac:dyDescent="0.35">
      <c r="A333" s="231" t="s">
        <v>722</v>
      </c>
      <c r="B333" s="232"/>
      <c r="C333" s="232"/>
      <c r="D333" s="303"/>
      <c r="E333" s="232"/>
      <c r="F333" s="259"/>
      <c r="G333" s="232"/>
      <c r="H333" s="260"/>
      <c r="I333" s="258"/>
      <c r="J333" s="232"/>
      <c r="K333" s="251"/>
      <c r="L333" s="232"/>
      <c r="M333" s="495"/>
      <c r="N333" s="536" t="s">
        <v>249</v>
      </c>
      <c r="O333" s="234">
        <v>244</v>
      </c>
      <c r="P333" s="233">
        <v>225</v>
      </c>
      <c r="Q333" s="381"/>
      <c r="R333" s="229">
        <f>SUM(R334)</f>
        <v>0</v>
      </c>
      <c r="S333" s="229">
        <f>SUM(S334)</f>
        <v>0</v>
      </c>
      <c r="T333" s="229">
        <f t="shared" si="2"/>
        <v>0</v>
      </c>
      <c r="U333" s="229">
        <f t="shared" si="2"/>
        <v>0</v>
      </c>
      <c r="V333" s="229">
        <f t="shared" si="2"/>
        <v>0</v>
      </c>
    </row>
    <row r="334" spans="1:30" s="45" customFormat="1" ht="15.6" outlineLevel="1" x14ac:dyDescent="0.3">
      <c r="A334" s="216" t="s">
        <v>615</v>
      </c>
      <c r="B334" s="217"/>
      <c r="C334" s="217"/>
      <c r="D334" s="218"/>
      <c r="E334" s="217" t="s">
        <v>574</v>
      </c>
      <c r="F334" s="280" t="s">
        <v>519</v>
      </c>
      <c r="G334" s="218">
        <f>5544/2</f>
        <v>2772</v>
      </c>
      <c r="H334" s="208" t="s">
        <v>520</v>
      </c>
      <c r="I334" s="219"/>
      <c r="J334" s="217"/>
      <c r="K334" s="250"/>
      <c r="L334" s="217"/>
      <c r="M334" s="494"/>
      <c r="N334" s="535"/>
      <c r="O334" s="221"/>
      <c r="P334" s="220"/>
      <c r="Q334" s="381"/>
      <c r="R334" s="222">
        <f>SUM(S334,T334,U334,V334)</f>
        <v>0</v>
      </c>
      <c r="S334" s="222"/>
      <c r="T334" s="222"/>
      <c r="U334" s="222"/>
      <c r="V334" s="222"/>
      <c r="AC334" s="414"/>
      <c r="AD334" s="471"/>
    </row>
    <row r="335" spans="1:30" ht="16.2" x14ac:dyDescent="0.35">
      <c r="A335" s="231" t="s">
        <v>616</v>
      </c>
      <c r="B335" s="232"/>
      <c r="C335" s="232"/>
      <c r="D335" s="303"/>
      <c r="E335" s="232"/>
      <c r="F335" s="259"/>
      <c r="G335" s="232"/>
      <c r="H335" s="260"/>
      <c r="I335" s="258"/>
      <c r="J335" s="232"/>
      <c r="K335" s="282"/>
      <c r="L335" s="232"/>
      <c r="M335" s="495"/>
      <c r="N335" s="536" t="s">
        <v>249</v>
      </c>
      <c r="O335" s="234">
        <v>244</v>
      </c>
      <c r="P335" s="233">
        <v>225</v>
      </c>
      <c r="Q335" s="381"/>
      <c r="R335" s="229">
        <f>SUM(R336:R340)</f>
        <v>0</v>
      </c>
      <c r="S335" s="229">
        <f>SUM(S336:S340)</f>
        <v>0</v>
      </c>
      <c r="T335" s="229">
        <f>SUM(T336:T340)</f>
        <v>0</v>
      </c>
      <c r="U335" s="229">
        <f>SUM(U336:U340)</f>
        <v>0</v>
      </c>
      <c r="V335" s="229">
        <f>SUM(V336:V340)</f>
        <v>0</v>
      </c>
    </row>
    <row r="336" spans="1:30" s="283" customFormat="1" ht="15.6" outlineLevel="1" x14ac:dyDescent="0.3">
      <c r="A336" s="216"/>
      <c r="B336" s="217"/>
      <c r="C336" s="217"/>
      <c r="D336" s="218"/>
      <c r="E336" s="217" t="s">
        <v>574</v>
      </c>
      <c r="F336" s="280" t="s">
        <v>519</v>
      </c>
      <c r="G336" s="218"/>
      <c r="H336" s="208" t="s">
        <v>520</v>
      </c>
      <c r="I336" s="219"/>
      <c r="J336" s="217"/>
      <c r="K336" s="250"/>
      <c r="L336" s="217"/>
      <c r="M336" s="494"/>
      <c r="N336" s="535"/>
      <c r="O336" s="221"/>
      <c r="P336" s="220"/>
      <c r="Q336" s="381"/>
      <c r="R336" s="222">
        <f>SUM(S336,T336,U336,V336)</f>
        <v>0</v>
      </c>
      <c r="S336" s="222"/>
      <c r="T336" s="222"/>
      <c r="U336" s="222"/>
      <c r="V336" s="222"/>
      <c r="AC336" s="414"/>
      <c r="AD336" s="471"/>
    </row>
    <row r="337" spans="1:30" ht="15.6" outlineLevel="1" x14ac:dyDescent="0.3">
      <c r="A337" s="216"/>
      <c r="B337" s="217"/>
      <c r="C337" s="217"/>
      <c r="D337" s="218"/>
      <c r="E337" s="217" t="s">
        <v>574</v>
      </c>
      <c r="F337" s="280" t="s">
        <v>519</v>
      </c>
      <c r="G337" s="218"/>
      <c r="H337" s="208" t="s">
        <v>520</v>
      </c>
      <c r="I337" s="219"/>
      <c r="J337" s="217"/>
      <c r="K337" s="250"/>
      <c r="L337" s="217"/>
      <c r="M337" s="494"/>
      <c r="N337" s="535"/>
      <c r="O337" s="221"/>
      <c r="P337" s="220"/>
      <c r="Q337" s="381"/>
      <c r="R337" s="222">
        <f>SUM(S337,T337,U337,V337)</f>
        <v>0</v>
      </c>
      <c r="S337" s="222"/>
      <c r="T337" s="222"/>
      <c r="U337" s="222"/>
      <c r="V337" s="222"/>
    </row>
    <row r="338" spans="1:30" ht="15.6" outlineLevel="1" x14ac:dyDescent="0.3">
      <c r="A338" s="216"/>
      <c r="B338" s="217"/>
      <c r="C338" s="217"/>
      <c r="D338" s="218"/>
      <c r="E338" s="217" t="s">
        <v>574</v>
      </c>
      <c r="F338" s="280" t="s">
        <v>519</v>
      </c>
      <c r="G338" s="218"/>
      <c r="H338" s="208" t="s">
        <v>520</v>
      </c>
      <c r="I338" s="219"/>
      <c r="J338" s="217"/>
      <c r="K338" s="250"/>
      <c r="L338" s="217"/>
      <c r="M338" s="494"/>
      <c r="N338" s="535"/>
      <c r="O338" s="221"/>
      <c r="P338" s="220"/>
      <c r="Q338" s="381"/>
      <c r="R338" s="222">
        <f>SUM(S338,T338,U338,V338)</f>
        <v>0</v>
      </c>
      <c r="S338" s="222"/>
      <c r="T338" s="222"/>
      <c r="U338" s="222"/>
      <c r="V338" s="222"/>
    </row>
    <row r="339" spans="1:30" ht="15.6" outlineLevel="1" x14ac:dyDescent="0.3">
      <c r="A339" s="216"/>
      <c r="B339" s="217"/>
      <c r="C339" s="217"/>
      <c r="D339" s="218"/>
      <c r="E339" s="217" t="s">
        <v>574</v>
      </c>
      <c r="F339" s="280" t="s">
        <v>519</v>
      </c>
      <c r="G339" s="218"/>
      <c r="H339" s="208" t="s">
        <v>520</v>
      </c>
      <c r="I339" s="219"/>
      <c r="J339" s="217"/>
      <c r="K339" s="250"/>
      <c r="L339" s="217"/>
      <c r="M339" s="494"/>
      <c r="N339" s="535"/>
      <c r="O339" s="221"/>
      <c r="P339" s="220"/>
      <c r="Q339" s="381"/>
      <c r="R339" s="222">
        <f>SUM(S339,T339,U339,V339)</f>
        <v>0</v>
      </c>
      <c r="S339" s="222"/>
      <c r="T339" s="222"/>
      <c r="U339" s="222"/>
      <c r="V339" s="222"/>
    </row>
    <row r="340" spans="1:30" ht="15.6" outlineLevel="1" x14ac:dyDescent="0.3">
      <c r="A340" s="216"/>
      <c r="B340" s="217"/>
      <c r="C340" s="217"/>
      <c r="D340" s="218"/>
      <c r="E340" s="217" t="s">
        <v>574</v>
      </c>
      <c r="F340" s="280" t="s">
        <v>519</v>
      </c>
      <c r="G340" s="218"/>
      <c r="H340" s="208" t="s">
        <v>520</v>
      </c>
      <c r="I340" s="219"/>
      <c r="J340" s="217"/>
      <c r="K340" s="250"/>
      <c r="L340" s="217"/>
      <c r="M340" s="494"/>
      <c r="N340" s="535"/>
      <c r="O340" s="221"/>
      <c r="P340" s="220"/>
      <c r="Q340" s="381"/>
      <c r="R340" s="222">
        <f>SUM(S340,T340,U340,V340)</f>
        <v>0</v>
      </c>
      <c r="S340" s="222"/>
      <c r="T340" s="222"/>
      <c r="U340" s="222"/>
      <c r="V340" s="222"/>
    </row>
    <row r="341" spans="1:30" ht="16.2" x14ac:dyDescent="0.35">
      <c r="A341" s="231" t="s">
        <v>617</v>
      </c>
      <c r="B341" s="232"/>
      <c r="C341" s="232"/>
      <c r="D341" s="303"/>
      <c r="E341" s="232"/>
      <c r="F341" s="259"/>
      <c r="G341" s="232"/>
      <c r="H341" s="260"/>
      <c r="I341" s="258"/>
      <c r="J341" s="232"/>
      <c r="K341" s="282"/>
      <c r="L341" s="232"/>
      <c r="M341" s="495" t="s">
        <v>277</v>
      </c>
      <c r="N341" s="536" t="s">
        <v>249</v>
      </c>
      <c r="O341" s="234">
        <v>244</v>
      </c>
      <c r="P341" s="233">
        <v>225</v>
      </c>
      <c r="Q341" s="381"/>
      <c r="R341" s="229">
        <f>SUM(R342)</f>
        <v>0</v>
      </c>
      <c r="S341" s="229">
        <f>SUM(S342)</f>
        <v>0</v>
      </c>
      <c r="T341" s="229">
        <f>SUM(T342)</f>
        <v>0</v>
      </c>
      <c r="U341" s="229">
        <f>SUM(U342)</f>
        <v>0</v>
      </c>
      <c r="V341" s="229">
        <f>SUM(V342)</f>
        <v>0</v>
      </c>
    </row>
    <row r="342" spans="1:30" s="283" customFormat="1" ht="15.6" outlineLevel="1" x14ac:dyDescent="0.3">
      <c r="A342" s="216"/>
      <c r="B342" s="217"/>
      <c r="C342" s="217"/>
      <c r="D342" s="218"/>
      <c r="E342" s="217" t="s">
        <v>574</v>
      </c>
      <c r="F342" s="280" t="s">
        <v>519</v>
      </c>
      <c r="G342" s="218">
        <f>137.16*1.2</f>
        <v>164.59</v>
      </c>
      <c r="H342" s="208" t="s">
        <v>520</v>
      </c>
      <c r="I342" s="219"/>
      <c r="J342" s="217"/>
      <c r="K342" s="250"/>
      <c r="L342" s="217"/>
      <c r="M342" s="494"/>
      <c r="N342" s="535"/>
      <c r="O342" s="221"/>
      <c r="P342" s="220"/>
      <c r="Q342" s="381"/>
      <c r="R342" s="222">
        <f>SUM(S342,T342,U342,V342)</f>
        <v>0</v>
      </c>
      <c r="S342" s="222"/>
      <c r="T342" s="222"/>
      <c r="U342" s="222"/>
      <c r="V342" s="222"/>
      <c r="AC342" s="414"/>
      <c r="AD342" s="471"/>
    </row>
    <row r="343" spans="1:30" ht="16.2" x14ac:dyDescent="0.35">
      <c r="A343" s="231" t="s">
        <v>618</v>
      </c>
      <c r="B343" s="232"/>
      <c r="C343" s="232"/>
      <c r="D343" s="303"/>
      <c r="E343" s="232"/>
      <c r="F343" s="259"/>
      <c r="G343" s="232"/>
      <c r="H343" s="260"/>
      <c r="I343" s="258"/>
      <c r="J343" s="232"/>
      <c r="K343" s="282"/>
      <c r="L343" s="232"/>
      <c r="M343" s="495"/>
      <c r="N343" s="536" t="s">
        <v>249</v>
      </c>
      <c r="O343" s="234">
        <v>244</v>
      </c>
      <c r="P343" s="233">
        <v>225</v>
      </c>
      <c r="Q343" s="381"/>
      <c r="R343" s="229">
        <f>SUM(R344)</f>
        <v>0</v>
      </c>
      <c r="S343" s="229">
        <f>SUM(S344)</f>
        <v>0</v>
      </c>
      <c r="T343" s="229">
        <f>SUM(T344)</f>
        <v>0</v>
      </c>
      <c r="U343" s="229">
        <f>SUM(U344)</f>
        <v>0</v>
      </c>
      <c r="V343" s="229">
        <f>SUM(V344)</f>
        <v>0</v>
      </c>
    </row>
    <row r="344" spans="1:30" s="283" customFormat="1" ht="15.6" outlineLevel="1" x14ac:dyDescent="0.3">
      <c r="A344" s="216"/>
      <c r="B344" s="217"/>
      <c r="C344" s="217"/>
      <c r="D344" s="218"/>
      <c r="E344" s="217" t="s">
        <v>574</v>
      </c>
      <c r="F344" s="280" t="s">
        <v>519</v>
      </c>
      <c r="G344" s="218">
        <v>450</v>
      </c>
      <c r="H344" s="208" t="s">
        <v>583</v>
      </c>
      <c r="I344" s="304"/>
      <c r="J344" s="217" t="s">
        <v>619</v>
      </c>
      <c r="K344" s="293"/>
      <c r="L344" s="208" t="s">
        <v>520</v>
      </c>
      <c r="M344" s="492"/>
      <c r="N344" s="527"/>
      <c r="O344" s="268"/>
      <c r="P344" s="269"/>
      <c r="Q344" s="382"/>
      <c r="R344" s="222">
        <f>SUM(S344,T344,U344,V344)</f>
        <v>0</v>
      </c>
      <c r="S344" s="222"/>
      <c r="T344" s="222"/>
      <c r="U344" s="222"/>
      <c r="V344" s="222"/>
      <c r="AC344" s="414"/>
      <c r="AD344" s="471"/>
    </row>
    <row r="345" spans="1:30" ht="16.2" x14ac:dyDescent="0.35">
      <c r="A345" s="231" t="s">
        <v>620</v>
      </c>
      <c r="B345" s="232"/>
      <c r="C345" s="232"/>
      <c r="D345" s="303"/>
      <c r="E345" s="232"/>
      <c r="F345" s="259"/>
      <c r="G345" s="232"/>
      <c r="H345" s="260"/>
      <c r="I345" s="258"/>
      <c r="J345" s="232"/>
      <c r="K345" s="282"/>
      <c r="L345" s="232"/>
      <c r="M345" s="495"/>
      <c r="N345" s="536" t="s">
        <v>249</v>
      </c>
      <c r="O345" s="234">
        <v>244</v>
      </c>
      <c r="P345" s="233">
        <v>225</v>
      </c>
      <c r="Q345" s="381"/>
      <c r="R345" s="229">
        <f>SUM(R346)</f>
        <v>0</v>
      </c>
      <c r="S345" s="229">
        <f>SUM(S346)</f>
        <v>0</v>
      </c>
      <c r="T345" s="229">
        <f>SUM(T346)</f>
        <v>0</v>
      </c>
      <c r="U345" s="229">
        <f>SUM(U346)</f>
        <v>0</v>
      </c>
      <c r="V345" s="229">
        <f>SUM(V346)</f>
        <v>0</v>
      </c>
    </row>
    <row r="346" spans="1:30" s="283" customFormat="1" ht="15.6" outlineLevel="1" x14ac:dyDescent="0.3">
      <c r="A346" s="216"/>
      <c r="B346" s="217"/>
      <c r="C346" s="217"/>
      <c r="D346" s="218"/>
      <c r="E346" s="217" t="s">
        <v>574</v>
      </c>
      <c r="F346" s="280" t="s">
        <v>519</v>
      </c>
      <c r="G346" s="218"/>
      <c r="H346" s="208" t="s">
        <v>520</v>
      </c>
      <c r="I346" s="218"/>
      <c r="J346" s="208" t="s">
        <v>520</v>
      </c>
      <c r="K346" s="250"/>
      <c r="L346" s="217"/>
      <c r="M346" s="494"/>
      <c r="N346" s="535"/>
      <c r="O346" s="221"/>
      <c r="P346" s="220"/>
      <c r="Q346" s="381"/>
      <c r="R346" s="222">
        <f>SUM(S346,T346,U346,V346)</f>
        <v>0</v>
      </c>
      <c r="S346" s="222"/>
      <c r="T346" s="222"/>
      <c r="U346" s="222"/>
      <c r="V346" s="222"/>
      <c r="AC346" s="414"/>
      <c r="AD346" s="471"/>
    </row>
    <row r="347" spans="1:30" ht="16.2" x14ac:dyDescent="0.35">
      <c r="A347" s="231" t="s">
        <v>621</v>
      </c>
      <c r="B347" s="232"/>
      <c r="C347" s="232"/>
      <c r="D347" s="303"/>
      <c r="E347" s="232"/>
      <c r="F347" s="259"/>
      <c r="G347" s="232"/>
      <c r="H347" s="260"/>
      <c r="I347" s="258"/>
      <c r="J347" s="232"/>
      <c r="K347" s="282"/>
      <c r="L347" s="232"/>
      <c r="M347" s="495"/>
      <c r="N347" s="536" t="s">
        <v>249</v>
      </c>
      <c r="O347" s="234">
        <v>244</v>
      </c>
      <c r="P347" s="233">
        <v>225</v>
      </c>
      <c r="Q347" s="381"/>
      <c r="R347" s="229">
        <f>SUM(R348)</f>
        <v>0</v>
      </c>
      <c r="S347" s="229">
        <f>SUM(S348)</f>
        <v>0</v>
      </c>
      <c r="T347" s="229">
        <f>SUM(T348)</f>
        <v>0</v>
      </c>
      <c r="U347" s="229">
        <f>SUM(U348)</f>
        <v>0</v>
      </c>
      <c r="V347" s="229">
        <f>SUM(V348)</f>
        <v>0</v>
      </c>
    </row>
    <row r="348" spans="1:30" s="283" customFormat="1" ht="15.6" outlineLevel="1" x14ac:dyDescent="0.3">
      <c r="A348" s="216"/>
      <c r="B348" s="217"/>
      <c r="C348" s="217"/>
      <c r="D348" s="218"/>
      <c r="E348" s="217" t="s">
        <v>574</v>
      </c>
      <c r="F348" s="280" t="s">
        <v>519</v>
      </c>
      <c r="G348" s="218">
        <v>500</v>
      </c>
      <c r="H348" s="208" t="s">
        <v>520</v>
      </c>
      <c r="I348" s="219"/>
      <c r="J348" s="217"/>
      <c r="K348" s="250"/>
      <c r="L348" s="217"/>
      <c r="M348" s="494"/>
      <c r="N348" s="535"/>
      <c r="O348" s="221"/>
      <c r="P348" s="220"/>
      <c r="Q348" s="381"/>
      <c r="R348" s="222">
        <f>SUM(S348,T348,U348,V348)</f>
        <v>0</v>
      </c>
      <c r="S348" s="222"/>
      <c r="T348" s="222"/>
      <c r="U348" s="222"/>
      <c r="V348" s="222"/>
      <c r="AC348" s="414"/>
      <c r="AD348" s="471"/>
    </row>
    <row r="349" spans="1:30" ht="16.2" x14ac:dyDescent="0.35">
      <c r="A349" s="231" t="s">
        <v>700</v>
      </c>
      <c r="B349" s="232"/>
      <c r="C349" s="232"/>
      <c r="D349" s="303"/>
      <c r="E349" s="232"/>
      <c r="F349" s="259"/>
      <c r="G349" s="232"/>
      <c r="H349" s="260"/>
      <c r="I349" s="258"/>
      <c r="J349" s="232"/>
      <c r="K349" s="282"/>
      <c r="L349" s="232"/>
      <c r="M349" s="495"/>
      <c r="N349" s="536" t="s">
        <v>249</v>
      </c>
      <c r="O349" s="234">
        <v>244</v>
      </c>
      <c r="P349" s="233">
        <v>225</v>
      </c>
      <c r="Q349" s="381"/>
      <c r="R349" s="229">
        <f>SUM(R350:R358)</f>
        <v>0</v>
      </c>
      <c r="S349" s="229">
        <f>SUM(S350:S358)</f>
        <v>0</v>
      </c>
      <c r="T349" s="229">
        <f>SUM(T350:T358)</f>
        <v>0</v>
      </c>
      <c r="U349" s="229">
        <f>SUM(U350:U358)</f>
        <v>0</v>
      </c>
      <c r="V349" s="229">
        <f>SUM(V350:V358)</f>
        <v>0</v>
      </c>
    </row>
    <row r="350" spans="1:30" s="283" customFormat="1" ht="15.6" outlineLevel="1" x14ac:dyDescent="0.3">
      <c r="A350" s="216"/>
      <c r="B350" s="217"/>
      <c r="C350" s="252" t="s">
        <v>859</v>
      </c>
      <c r="D350" s="218"/>
      <c r="E350" s="217" t="s">
        <v>574</v>
      </c>
      <c r="F350" s="280" t="s">
        <v>519</v>
      </c>
      <c r="G350" s="218">
        <v>340</v>
      </c>
      <c r="H350" s="208" t="s">
        <v>520</v>
      </c>
      <c r="I350" s="219"/>
      <c r="J350" s="217"/>
      <c r="K350" s="250"/>
      <c r="L350" s="217"/>
      <c r="M350" s="494"/>
      <c r="N350" s="535"/>
      <c r="O350" s="221"/>
      <c r="P350" s="220"/>
      <c r="Q350" s="381"/>
      <c r="R350" s="222">
        <f t="shared" ref="R350:R358" si="3">SUM(S350,T350,U350,V350)</f>
        <v>0</v>
      </c>
      <c r="S350" s="222"/>
      <c r="T350" s="222"/>
      <c r="U350" s="222"/>
      <c r="V350" s="222"/>
      <c r="AC350" s="414"/>
      <c r="AD350" s="471"/>
    </row>
    <row r="351" spans="1:30" s="283" customFormat="1" ht="15.6" outlineLevel="1" x14ac:dyDescent="0.3">
      <c r="A351" s="216"/>
      <c r="B351" s="217"/>
      <c r="C351" s="252" t="s">
        <v>860</v>
      </c>
      <c r="D351" s="218"/>
      <c r="E351" s="217" t="s">
        <v>574</v>
      </c>
      <c r="F351" s="280" t="s">
        <v>519</v>
      </c>
      <c r="G351" s="218">
        <v>340</v>
      </c>
      <c r="H351" s="208" t="s">
        <v>520</v>
      </c>
      <c r="I351" s="219"/>
      <c r="J351" s="217"/>
      <c r="K351" s="250"/>
      <c r="L351" s="217"/>
      <c r="M351" s="494"/>
      <c r="N351" s="535"/>
      <c r="O351" s="221"/>
      <c r="P351" s="220"/>
      <c r="Q351" s="381"/>
      <c r="R351" s="222">
        <f t="shared" si="3"/>
        <v>0</v>
      </c>
      <c r="S351" s="222"/>
      <c r="T351" s="222"/>
      <c r="U351" s="222"/>
      <c r="V351" s="222"/>
      <c r="AC351" s="414"/>
      <c r="AD351" s="471"/>
    </row>
    <row r="352" spans="1:30" s="283" customFormat="1" ht="15.6" outlineLevel="1" x14ac:dyDescent="0.3">
      <c r="A352" s="216"/>
      <c r="B352" s="217"/>
      <c r="C352" s="252" t="s">
        <v>861</v>
      </c>
      <c r="D352" s="218"/>
      <c r="E352" s="217" t="s">
        <v>574</v>
      </c>
      <c r="F352" s="280" t="s">
        <v>519</v>
      </c>
      <c r="G352" s="218">
        <v>280</v>
      </c>
      <c r="H352" s="208" t="s">
        <v>520</v>
      </c>
      <c r="I352" s="219"/>
      <c r="J352" s="217"/>
      <c r="K352" s="250"/>
      <c r="L352" s="217"/>
      <c r="M352" s="494"/>
      <c r="N352" s="535"/>
      <c r="O352" s="221"/>
      <c r="P352" s="220"/>
      <c r="Q352" s="381"/>
      <c r="R352" s="222">
        <f t="shared" si="3"/>
        <v>0</v>
      </c>
      <c r="S352" s="222"/>
      <c r="T352" s="222"/>
      <c r="U352" s="222"/>
      <c r="V352" s="222"/>
      <c r="AC352" s="414"/>
      <c r="AD352" s="471"/>
    </row>
    <row r="353" spans="1:30" s="283" customFormat="1" ht="15.6" outlineLevel="1" x14ac:dyDescent="0.3">
      <c r="A353" s="216"/>
      <c r="B353" s="217"/>
      <c r="C353" s="252" t="s">
        <v>862</v>
      </c>
      <c r="D353" s="218"/>
      <c r="E353" s="217" t="s">
        <v>574</v>
      </c>
      <c r="F353" s="280" t="s">
        <v>519</v>
      </c>
      <c r="G353" s="218">
        <v>280</v>
      </c>
      <c r="H353" s="208" t="s">
        <v>520</v>
      </c>
      <c r="I353" s="219"/>
      <c r="J353" s="217"/>
      <c r="K353" s="250"/>
      <c r="L353" s="217"/>
      <c r="M353" s="494"/>
      <c r="N353" s="535"/>
      <c r="O353" s="221"/>
      <c r="P353" s="220"/>
      <c r="Q353" s="381"/>
      <c r="R353" s="222">
        <f t="shared" si="3"/>
        <v>0</v>
      </c>
      <c r="S353" s="222"/>
      <c r="T353" s="222"/>
      <c r="U353" s="222"/>
      <c r="V353" s="222"/>
      <c r="AC353" s="414"/>
      <c r="AD353" s="471"/>
    </row>
    <row r="354" spans="1:30" s="283" customFormat="1" ht="15.6" outlineLevel="1" x14ac:dyDescent="0.3">
      <c r="A354" s="216"/>
      <c r="B354" s="217"/>
      <c r="C354" s="252" t="s">
        <v>863</v>
      </c>
      <c r="D354" s="218"/>
      <c r="E354" s="217" t="s">
        <v>574</v>
      </c>
      <c r="F354" s="280" t="s">
        <v>519</v>
      </c>
      <c r="G354" s="218">
        <v>310</v>
      </c>
      <c r="H354" s="208" t="s">
        <v>520</v>
      </c>
      <c r="I354" s="219"/>
      <c r="J354" s="217"/>
      <c r="K354" s="250"/>
      <c r="L354" s="217"/>
      <c r="M354" s="494"/>
      <c r="N354" s="535"/>
      <c r="O354" s="221"/>
      <c r="P354" s="220"/>
      <c r="Q354" s="381"/>
      <c r="R354" s="222">
        <f t="shared" si="3"/>
        <v>0</v>
      </c>
      <c r="S354" s="222"/>
      <c r="T354" s="222"/>
      <c r="U354" s="222"/>
      <c r="V354" s="222"/>
      <c r="AC354" s="414"/>
      <c r="AD354" s="471"/>
    </row>
    <row r="355" spans="1:30" s="283" customFormat="1" ht="15.6" outlineLevel="1" x14ac:dyDescent="0.3">
      <c r="A355" s="216"/>
      <c r="B355" s="217"/>
      <c r="C355" s="252" t="s">
        <v>864</v>
      </c>
      <c r="D355" s="218"/>
      <c r="E355" s="217" t="s">
        <v>574</v>
      </c>
      <c r="F355" s="280" t="s">
        <v>519</v>
      </c>
      <c r="G355" s="218">
        <v>330</v>
      </c>
      <c r="H355" s="208" t="s">
        <v>520</v>
      </c>
      <c r="I355" s="219"/>
      <c r="J355" s="217"/>
      <c r="K355" s="250"/>
      <c r="L355" s="217"/>
      <c r="M355" s="494"/>
      <c r="N355" s="535"/>
      <c r="O355" s="221"/>
      <c r="P355" s="220"/>
      <c r="Q355" s="381"/>
      <c r="R355" s="222">
        <f t="shared" si="3"/>
        <v>0</v>
      </c>
      <c r="S355" s="222"/>
      <c r="T355" s="222"/>
      <c r="U355" s="222"/>
      <c r="V355" s="222"/>
      <c r="AC355" s="414"/>
      <c r="AD355" s="471"/>
    </row>
    <row r="356" spans="1:30" s="283" customFormat="1" ht="15.6" outlineLevel="1" x14ac:dyDescent="0.3">
      <c r="A356" s="216"/>
      <c r="B356" s="217"/>
      <c r="C356" s="252" t="s">
        <v>865</v>
      </c>
      <c r="D356" s="218"/>
      <c r="E356" s="217" t="s">
        <v>574</v>
      </c>
      <c r="F356" s="280" t="s">
        <v>519</v>
      </c>
      <c r="G356" s="218">
        <v>360</v>
      </c>
      <c r="H356" s="208" t="s">
        <v>520</v>
      </c>
      <c r="I356" s="219"/>
      <c r="J356" s="217"/>
      <c r="K356" s="250"/>
      <c r="L356" s="217"/>
      <c r="M356" s="494"/>
      <c r="N356" s="535"/>
      <c r="O356" s="221"/>
      <c r="P356" s="220"/>
      <c r="Q356" s="381"/>
      <c r="R356" s="222">
        <f t="shared" si="3"/>
        <v>0</v>
      </c>
      <c r="S356" s="222"/>
      <c r="T356" s="222"/>
      <c r="U356" s="222"/>
      <c r="V356" s="222"/>
      <c r="AC356" s="414"/>
      <c r="AD356" s="471"/>
    </row>
    <row r="357" spans="1:30" s="283" customFormat="1" ht="15.6" outlineLevel="1" x14ac:dyDescent="0.3">
      <c r="A357" s="216"/>
      <c r="B357" s="217"/>
      <c r="C357" s="252" t="s">
        <v>866</v>
      </c>
      <c r="D357" s="218"/>
      <c r="E357" s="217" t="s">
        <v>574</v>
      </c>
      <c r="F357" s="280" t="s">
        <v>519</v>
      </c>
      <c r="G357" s="218">
        <v>360</v>
      </c>
      <c r="H357" s="208" t="s">
        <v>520</v>
      </c>
      <c r="I357" s="219"/>
      <c r="J357" s="217"/>
      <c r="K357" s="250"/>
      <c r="L357" s="217"/>
      <c r="M357" s="494"/>
      <c r="N357" s="535"/>
      <c r="O357" s="221"/>
      <c r="P357" s="220"/>
      <c r="Q357" s="381"/>
      <c r="R357" s="222">
        <f t="shared" si="3"/>
        <v>0</v>
      </c>
      <c r="S357" s="222"/>
      <c r="T357" s="222"/>
      <c r="U357" s="222"/>
      <c r="V357" s="222"/>
      <c r="AC357" s="414"/>
      <c r="AD357" s="471"/>
    </row>
    <row r="358" spans="1:30" s="283" customFormat="1" ht="15.6" outlineLevel="1" x14ac:dyDescent="0.3">
      <c r="A358" s="216"/>
      <c r="B358" s="217"/>
      <c r="C358" s="252" t="s">
        <v>867</v>
      </c>
      <c r="D358" s="218"/>
      <c r="E358" s="217" t="s">
        <v>574</v>
      </c>
      <c r="F358" s="280" t="s">
        <v>519</v>
      </c>
      <c r="G358" s="218">
        <v>360</v>
      </c>
      <c r="H358" s="208" t="s">
        <v>520</v>
      </c>
      <c r="I358" s="219"/>
      <c r="J358" s="217"/>
      <c r="K358" s="250"/>
      <c r="L358" s="217"/>
      <c r="M358" s="494"/>
      <c r="N358" s="535"/>
      <c r="O358" s="221"/>
      <c r="P358" s="220"/>
      <c r="Q358" s="381"/>
      <c r="R358" s="222">
        <f t="shared" si="3"/>
        <v>0</v>
      </c>
      <c r="S358" s="222"/>
      <c r="T358" s="222"/>
      <c r="U358" s="222"/>
      <c r="V358" s="222"/>
      <c r="AC358" s="414"/>
      <c r="AD358" s="471"/>
    </row>
    <row r="359" spans="1:30" ht="16.2" x14ac:dyDescent="0.35">
      <c r="A359" s="231"/>
      <c r="B359" s="232"/>
      <c r="C359" s="232"/>
      <c r="D359" s="303"/>
      <c r="E359" s="232"/>
      <c r="F359" s="259"/>
      <c r="G359" s="232"/>
      <c r="H359" s="260"/>
      <c r="I359" s="258"/>
      <c r="J359" s="232"/>
      <c r="K359" s="282"/>
      <c r="L359" s="232"/>
      <c r="M359" s="495"/>
      <c r="N359" s="536"/>
      <c r="O359" s="234">
        <v>244</v>
      </c>
      <c r="P359" s="233">
        <v>225</v>
      </c>
      <c r="Q359" s="381"/>
      <c r="R359" s="229">
        <f>SUM(R360)</f>
        <v>0</v>
      </c>
      <c r="S359" s="229">
        <f>SUM(S360)</f>
        <v>0</v>
      </c>
      <c r="T359" s="229">
        <f>SUM(T360)</f>
        <v>0</v>
      </c>
      <c r="U359" s="229">
        <f>SUM(U360)</f>
        <v>0</v>
      </c>
      <c r="V359" s="229">
        <f>SUM(V360)</f>
        <v>0</v>
      </c>
    </row>
    <row r="360" spans="1:30" s="283" customFormat="1" ht="15.6" outlineLevel="1" x14ac:dyDescent="0.3">
      <c r="A360" s="216"/>
      <c r="B360" s="217"/>
      <c r="C360" s="217"/>
      <c r="D360" s="218"/>
      <c r="E360" s="217" t="s">
        <v>574</v>
      </c>
      <c r="F360" s="280" t="s">
        <v>519</v>
      </c>
      <c r="G360" s="218"/>
      <c r="H360" s="208" t="s">
        <v>520</v>
      </c>
      <c r="I360" s="219"/>
      <c r="J360" s="217"/>
      <c r="K360" s="250"/>
      <c r="L360" s="217"/>
      <c r="M360" s="494"/>
      <c r="N360" s="535"/>
      <c r="O360" s="221"/>
      <c r="P360" s="220"/>
      <c r="Q360" s="381"/>
      <c r="R360" s="222">
        <f>SUM(S360,T360,U360,V360)</f>
        <v>0</v>
      </c>
      <c r="S360" s="222"/>
      <c r="T360" s="222"/>
      <c r="U360" s="222"/>
      <c r="V360" s="222"/>
      <c r="AC360" s="414"/>
      <c r="AD360" s="471"/>
    </row>
    <row r="361" spans="1:30" ht="16.2" x14ac:dyDescent="0.35">
      <c r="A361" s="231" t="s">
        <v>701</v>
      </c>
      <c r="B361" s="232"/>
      <c r="C361" s="241"/>
      <c r="D361" s="241"/>
      <c r="E361" s="241"/>
      <c r="F361" s="259"/>
      <c r="G361" s="232"/>
      <c r="H361" s="260"/>
      <c r="I361" s="258"/>
      <c r="J361" s="232"/>
      <c r="K361" s="286"/>
      <c r="L361" s="241"/>
      <c r="M361" s="499"/>
      <c r="N361" s="518" t="s">
        <v>249</v>
      </c>
      <c r="O361" s="296">
        <v>244</v>
      </c>
      <c r="P361" s="297">
        <v>225</v>
      </c>
      <c r="Q361" s="384"/>
      <c r="R361" s="229">
        <f>SUM(R362,R363,R366,R364,R365)</f>
        <v>0</v>
      </c>
      <c r="S361" s="229">
        <f>SUM(S362,S363,S366,S364,S365)</f>
        <v>0</v>
      </c>
      <c r="T361" s="229">
        <f>SUM(T362,T363,T366,T364,T365)</f>
        <v>0</v>
      </c>
      <c r="U361" s="229">
        <f>SUM(U362,U363,U366,U364,U365)</f>
        <v>0</v>
      </c>
      <c r="V361" s="229">
        <f>SUM(V362,V363,V366,V364,V365)</f>
        <v>0</v>
      </c>
    </row>
    <row r="362" spans="1:30" s="45" customFormat="1" ht="16.2" outlineLevel="1" x14ac:dyDescent="0.35">
      <c r="A362" s="277" t="s">
        <v>622</v>
      </c>
      <c r="B362" s="304"/>
      <c r="C362" s="238"/>
      <c r="D362" s="252" t="s">
        <v>548</v>
      </c>
      <c r="E362" s="304"/>
      <c r="F362" s="258"/>
      <c r="G362" s="398"/>
      <c r="H362" s="217" t="s">
        <v>520</v>
      </c>
      <c r="I362" s="398"/>
      <c r="J362" s="217" t="s">
        <v>520</v>
      </c>
      <c r="K362" s="286"/>
      <c r="L362" s="241"/>
      <c r="M362" s="499"/>
      <c r="N362" s="518"/>
      <c r="O362" s="299"/>
      <c r="P362" s="300"/>
      <c r="Q362" s="384"/>
      <c r="R362" s="222">
        <f>SUM(S362,T362,U362,V362)</f>
        <v>0</v>
      </c>
      <c r="S362" s="222"/>
      <c r="T362" s="222"/>
      <c r="U362" s="222"/>
      <c r="V362" s="222"/>
      <c r="AC362" s="414"/>
      <c r="AD362" s="471"/>
    </row>
    <row r="363" spans="1:30" s="45" customFormat="1" ht="16.2" outlineLevel="1" x14ac:dyDescent="0.35">
      <c r="A363" s="277" t="s">
        <v>622</v>
      </c>
      <c r="B363" s="304"/>
      <c r="C363" s="238"/>
      <c r="D363" s="252" t="s">
        <v>548</v>
      </c>
      <c r="E363" s="304"/>
      <c r="F363" s="258"/>
      <c r="G363" s="398"/>
      <c r="H363" s="217" t="s">
        <v>520</v>
      </c>
      <c r="I363" s="398"/>
      <c r="J363" s="217" t="s">
        <v>520</v>
      </c>
      <c r="K363" s="286"/>
      <c r="L363" s="241"/>
      <c r="M363" s="499"/>
      <c r="N363" s="518"/>
      <c r="O363" s="299"/>
      <c r="P363" s="300"/>
      <c r="Q363" s="384"/>
      <c r="R363" s="222">
        <f>SUM(S363,T363,U363,V363)</f>
        <v>0</v>
      </c>
      <c r="S363" s="222"/>
      <c r="T363" s="222"/>
      <c r="U363" s="222"/>
      <c r="V363" s="222"/>
      <c r="AC363" s="414"/>
      <c r="AD363" s="471"/>
    </row>
    <row r="364" spans="1:30" s="45" customFormat="1" ht="16.2" outlineLevel="1" x14ac:dyDescent="0.35">
      <c r="A364" s="277" t="s">
        <v>622</v>
      </c>
      <c r="B364" s="304"/>
      <c r="C364" s="238"/>
      <c r="D364" s="252" t="s">
        <v>548</v>
      </c>
      <c r="E364" s="304"/>
      <c r="F364" s="258"/>
      <c r="G364" s="398"/>
      <c r="H364" s="217" t="s">
        <v>520</v>
      </c>
      <c r="I364" s="398"/>
      <c r="J364" s="217" t="s">
        <v>520</v>
      </c>
      <c r="K364" s="286"/>
      <c r="L364" s="241"/>
      <c r="M364" s="499"/>
      <c r="N364" s="518"/>
      <c r="O364" s="299"/>
      <c r="P364" s="300"/>
      <c r="Q364" s="384"/>
      <c r="R364" s="222">
        <f>SUM(S364,T364,U364,V364)</f>
        <v>0</v>
      </c>
      <c r="S364" s="222"/>
      <c r="T364" s="222"/>
      <c r="U364" s="222"/>
      <c r="V364" s="222"/>
      <c r="AC364" s="414"/>
      <c r="AD364" s="471"/>
    </row>
    <row r="365" spans="1:30" s="45" customFormat="1" ht="16.2" outlineLevel="1" x14ac:dyDescent="0.35">
      <c r="A365" s="277" t="s">
        <v>622</v>
      </c>
      <c r="B365" s="304"/>
      <c r="C365" s="238"/>
      <c r="D365" s="252" t="s">
        <v>548</v>
      </c>
      <c r="E365" s="304"/>
      <c r="F365" s="258"/>
      <c r="G365" s="398"/>
      <c r="H365" s="217" t="s">
        <v>520</v>
      </c>
      <c r="I365" s="398"/>
      <c r="J365" s="217" t="s">
        <v>520</v>
      </c>
      <c r="K365" s="286"/>
      <c r="L365" s="241"/>
      <c r="M365" s="499"/>
      <c r="N365" s="518"/>
      <c r="O365" s="299"/>
      <c r="P365" s="300"/>
      <c r="Q365" s="384"/>
      <c r="R365" s="222">
        <f>SUM(S365,T365,U365,V365)</f>
        <v>0</v>
      </c>
      <c r="S365" s="222"/>
      <c r="T365" s="222"/>
      <c r="U365" s="222"/>
      <c r="V365" s="222"/>
      <c r="AC365" s="414"/>
      <c r="AD365" s="471"/>
    </row>
    <row r="366" spans="1:30" s="45" customFormat="1" ht="16.2" outlineLevel="1" x14ac:dyDescent="0.35">
      <c r="A366" s="277" t="s">
        <v>622</v>
      </c>
      <c r="B366" s="304"/>
      <c r="C366" s="238"/>
      <c r="D366" s="252" t="s">
        <v>548</v>
      </c>
      <c r="E366" s="304"/>
      <c r="F366" s="258"/>
      <c r="G366" s="398"/>
      <c r="H366" s="217" t="s">
        <v>520</v>
      </c>
      <c r="I366" s="398"/>
      <c r="J366" s="217" t="s">
        <v>520</v>
      </c>
      <c r="K366" s="286"/>
      <c r="L366" s="241"/>
      <c r="M366" s="499"/>
      <c r="N366" s="518"/>
      <c r="O366" s="299"/>
      <c r="P366" s="300"/>
      <c r="Q366" s="384"/>
      <c r="R366" s="222">
        <f>SUM(S366,T366,U366,V366)</f>
        <v>0</v>
      </c>
      <c r="S366" s="222"/>
      <c r="T366" s="222"/>
      <c r="U366" s="222"/>
      <c r="V366" s="222"/>
      <c r="AC366" s="414"/>
      <c r="AD366" s="471"/>
    </row>
    <row r="367" spans="1:30" ht="16.2" x14ac:dyDescent="0.35">
      <c r="A367" s="231" t="s">
        <v>791</v>
      </c>
      <c r="B367" s="232"/>
      <c r="C367" s="232"/>
      <c r="D367" s="303"/>
      <c r="E367" s="324"/>
      <c r="F367" s="259"/>
      <c r="G367" s="232"/>
      <c r="H367" s="260"/>
      <c r="I367" s="258"/>
      <c r="J367" s="232"/>
      <c r="K367" s="282"/>
      <c r="L367" s="232"/>
      <c r="M367" s="495"/>
      <c r="N367" s="536" t="s">
        <v>249</v>
      </c>
      <c r="O367" s="234">
        <v>244</v>
      </c>
      <c r="P367" s="233">
        <v>225</v>
      </c>
      <c r="Q367" s="381"/>
      <c r="R367" s="229">
        <f>SUM(R368:R369)</f>
        <v>0</v>
      </c>
      <c r="S367" s="263">
        <f>SUM(S368:S369)</f>
        <v>0</v>
      </c>
      <c r="T367" s="263">
        <f>SUM(T368:T369)</f>
        <v>0</v>
      </c>
      <c r="U367" s="263">
        <f>SUM(U368:U369)</f>
        <v>0</v>
      </c>
      <c r="V367" s="263">
        <f>SUM(V368:V369)</f>
        <v>0</v>
      </c>
    </row>
    <row r="368" spans="1:30" s="283" customFormat="1" ht="15.6" outlineLevel="1" x14ac:dyDescent="0.3">
      <c r="A368" s="264" t="s">
        <v>560</v>
      </c>
      <c r="B368" s="208">
        <f>$W$2</f>
        <v>2023</v>
      </c>
      <c r="C368" s="418"/>
      <c r="D368" s="218"/>
      <c r="E368" s="217" t="s">
        <v>574</v>
      </c>
      <c r="F368" s="252"/>
      <c r="G368" s="218">
        <v>98.4</v>
      </c>
      <c r="H368" s="208" t="s">
        <v>520</v>
      </c>
      <c r="I368" s="219"/>
      <c r="J368" s="217"/>
      <c r="K368" s="250"/>
      <c r="L368" s="217"/>
      <c r="M368" s="494"/>
      <c r="N368" s="535"/>
      <c r="O368" s="221"/>
      <c r="P368" s="220"/>
      <c r="Q368" s="381">
        <v>1</v>
      </c>
      <c r="R368" s="222">
        <f>SUM(S368,T368,U368,V368)</f>
        <v>0</v>
      </c>
      <c r="S368" s="222"/>
      <c r="T368" s="222"/>
      <c r="U368" s="222"/>
      <c r="V368" s="222"/>
      <c r="AC368" s="414"/>
      <c r="AD368" s="471"/>
    </row>
    <row r="369" spans="1:30" ht="15.6" outlineLevel="1" x14ac:dyDescent="0.3">
      <c r="A369" s="264" t="s">
        <v>563</v>
      </c>
      <c r="B369" s="208">
        <f>$W$1</f>
        <v>2024</v>
      </c>
      <c r="C369" s="418"/>
      <c r="D369" s="218"/>
      <c r="E369" s="217" t="s">
        <v>574</v>
      </c>
      <c r="F369" s="252"/>
      <c r="G369" s="218">
        <v>98.4</v>
      </c>
      <c r="H369" s="208" t="s">
        <v>520</v>
      </c>
      <c r="I369" s="219"/>
      <c r="J369" s="217"/>
      <c r="K369" s="250"/>
      <c r="L369" s="217"/>
      <c r="M369" s="494"/>
      <c r="N369" s="535"/>
      <c r="O369" s="221"/>
      <c r="P369" s="220"/>
      <c r="Q369" s="381">
        <v>8</v>
      </c>
      <c r="R369" s="222">
        <f>SUM(S369,T369,U369,V369)</f>
        <v>0</v>
      </c>
      <c r="S369" s="222"/>
      <c r="T369" s="222"/>
      <c r="U369" s="222"/>
      <c r="V369" s="222"/>
    </row>
    <row r="370" spans="1:30" ht="16.2" x14ac:dyDescent="0.35">
      <c r="A370" s="231" t="s">
        <v>762</v>
      </c>
      <c r="B370" s="232"/>
      <c r="C370" s="232"/>
      <c r="D370" s="303"/>
      <c r="E370" s="324"/>
      <c r="F370" s="259"/>
      <c r="G370" s="232"/>
      <c r="H370" s="260"/>
      <c r="I370" s="258"/>
      <c r="J370" s="232"/>
      <c r="K370" s="282"/>
      <c r="L370" s="232"/>
      <c r="M370" s="495" t="s">
        <v>759</v>
      </c>
      <c r="N370" s="536" t="s">
        <v>871</v>
      </c>
      <c r="O370" s="234">
        <v>244</v>
      </c>
      <c r="P370" s="233">
        <v>225</v>
      </c>
      <c r="Q370" s="381"/>
      <c r="R370" s="229">
        <f>SUM(R371:R373)</f>
        <v>0</v>
      </c>
      <c r="S370" s="263">
        <f>SUM(S371:S373)</f>
        <v>0</v>
      </c>
      <c r="T370" s="263">
        <f>SUM(T371:T373)</f>
        <v>0</v>
      </c>
      <c r="U370" s="263">
        <f>SUM(U371:U373)</f>
        <v>0</v>
      </c>
      <c r="V370" s="263">
        <f>SUM(V371:V373)</f>
        <v>0</v>
      </c>
      <c r="AD370" s="477"/>
    </row>
    <row r="371" spans="1:30" s="283" customFormat="1" ht="15.6" outlineLevel="1" x14ac:dyDescent="0.3">
      <c r="A371" s="264" t="s">
        <v>560</v>
      </c>
      <c r="B371" s="208">
        <f>$W$2</f>
        <v>2023</v>
      </c>
      <c r="C371" s="419"/>
      <c r="D371" s="218"/>
      <c r="E371" s="217" t="s">
        <v>574</v>
      </c>
      <c r="F371" s="280" t="s">
        <v>519</v>
      </c>
      <c r="G371" s="218">
        <v>1500</v>
      </c>
      <c r="H371" s="208" t="s">
        <v>520</v>
      </c>
      <c r="I371" s="218">
        <v>1289.5999999999999</v>
      </c>
      <c r="J371" s="208" t="s">
        <v>520</v>
      </c>
      <c r="K371" s="250"/>
      <c r="L371" s="217"/>
      <c r="M371" s="494"/>
      <c r="N371" s="535"/>
      <c r="O371" s="221"/>
      <c r="P371" s="220"/>
      <c r="Q371" s="381">
        <v>1</v>
      </c>
      <c r="R371" s="222">
        <f>SUM(S371,T371,U371,V371)</f>
        <v>0</v>
      </c>
      <c r="S371" s="222"/>
      <c r="T371" s="222"/>
      <c r="U371" s="222"/>
      <c r="V371" s="222"/>
      <c r="AC371" s="414"/>
      <c r="AD371" s="471"/>
    </row>
    <row r="372" spans="1:30" ht="15.6" outlineLevel="1" x14ac:dyDescent="0.3">
      <c r="A372" s="264" t="s">
        <v>586</v>
      </c>
      <c r="B372" s="208">
        <f>$W$1</f>
        <v>2024</v>
      </c>
      <c r="C372" s="419"/>
      <c r="D372" s="218"/>
      <c r="E372" s="217" t="s">
        <v>574</v>
      </c>
      <c r="F372" s="280" t="s">
        <v>519</v>
      </c>
      <c r="G372" s="218">
        <v>1500</v>
      </c>
      <c r="H372" s="208" t="s">
        <v>520</v>
      </c>
      <c r="I372" s="218">
        <v>1289.5999999999999</v>
      </c>
      <c r="J372" s="208" t="s">
        <v>520</v>
      </c>
      <c r="K372" s="250"/>
      <c r="L372" s="217"/>
      <c r="M372" s="494"/>
      <c r="N372" s="535"/>
      <c r="O372" s="221"/>
      <c r="P372" s="220"/>
      <c r="Q372" s="381">
        <v>6</v>
      </c>
      <c r="R372" s="222">
        <f>SUM(S372,T372,U372,V372)</f>
        <v>0</v>
      </c>
      <c r="S372" s="222"/>
      <c r="T372" s="222"/>
      <c r="U372" s="222"/>
      <c r="V372" s="222"/>
    </row>
    <row r="373" spans="1:30" ht="15.6" outlineLevel="1" x14ac:dyDescent="0.3">
      <c r="A373" s="264" t="s">
        <v>692</v>
      </c>
      <c r="B373" s="208">
        <f>$W$1</f>
        <v>2024</v>
      </c>
      <c r="C373" s="419"/>
      <c r="D373" s="218"/>
      <c r="E373" s="217" t="s">
        <v>574</v>
      </c>
      <c r="F373" s="280" t="s">
        <v>519</v>
      </c>
      <c r="G373" s="218">
        <v>1500</v>
      </c>
      <c r="H373" s="208" t="s">
        <v>520</v>
      </c>
      <c r="I373" s="218">
        <v>1289.5999999999999</v>
      </c>
      <c r="J373" s="208" t="s">
        <v>520</v>
      </c>
      <c r="K373" s="250"/>
      <c r="L373" s="217"/>
      <c r="M373" s="494"/>
      <c r="N373" s="535"/>
      <c r="O373" s="221"/>
      <c r="P373" s="220"/>
      <c r="Q373" s="381">
        <v>5</v>
      </c>
      <c r="R373" s="222">
        <f>SUM(S373,T373,U373,V373)</f>
        <v>0</v>
      </c>
      <c r="S373" s="222"/>
      <c r="T373" s="222"/>
      <c r="U373" s="222"/>
      <c r="V373" s="222"/>
    </row>
    <row r="374" spans="1:30" ht="16.2" x14ac:dyDescent="0.35">
      <c r="A374" s="231" t="s">
        <v>885</v>
      </c>
      <c r="B374" s="232"/>
      <c r="C374" s="232"/>
      <c r="D374" s="303"/>
      <c r="E374" s="326"/>
      <c r="F374" s="259"/>
      <c r="G374" s="232"/>
      <c r="H374" s="260"/>
      <c r="I374" s="258"/>
      <c r="J374" s="232"/>
      <c r="K374" s="282"/>
      <c r="L374" s="232"/>
      <c r="M374" s="495"/>
      <c r="N374" s="536"/>
      <c r="O374" s="234">
        <v>244</v>
      </c>
      <c r="P374" s="233">
        <v>225</v>
      </c>
      <c r="Q374" s="381"/>
      <c r="R374" s="229">
        <f>SUM(R375)</f>
        <v>0</v>
      </c>
      <c r="S374" s="229">
        <f>SUM(S375)</f>
        <v>0</v>
      </c>
      <c r="T374" s="229">
        <f>SUM(T375)</f>
        <v>0</v>
      </c>
      <c r="U374" s="229">
        <f>SUM(U375)</f>
        <v>0</v>
      </c>
      <c r="V374" s="229">
        <f>SUM(V375)</f>
        <v>0</v>
      </c>
      <c r="AB374" s="56"/>
    </row>
    <row r="375" spans="1:30" s="283" customFormat="1" ht="15.6" outlineLevel="1" x14ac:dyDescent="0.3">
      <c r="A375" s="216"/>
      <c r="B375" s="217"/>
      <c r="C375" s="217"/>
      <c r="D375" s="218"/>
      <c r="E375" s="327" t="s">
        <v>623</v>
      </c>
      <c r="F375" s="280" t="s">
        <v>519</v>
      </c>
      <c r="G375" s="218" t="e">
        <f>22000/D375</f>
        <v>#DIV/0!</v>
      </c>
      <c r="H375" s="208" t="s">
        <v>520</v>
      </c>
      <c r="I375" s="219"/>
      <c r="J375" s="217"/>
      <c r="K375" s="250"/>
      <c r="L375" s="217"/>
      <c r="M375" s="494"/>
      <c r="N375" s="535"/>
      <c r="O375" s="221"/>
      <c r="P375" s="220"/>
      <c r="Q375" s="381"/>
      <c r="R375" s="222">
        <f>SUM(S375,T375,U375,V375)</f>
        <v>0</v>
      </c>
      <c r="S375" s="222"/>
      <c r="T375" s="222"/>
      <c r="U375" s="222"/>
      <c r="V375" s="222"/>
      <c r="AC375" s="414"/>
      <c r="AD375" s="471"/>
    </row>
    <row r="376" spans="1:30" ht="16.2" x14ac:dyDescent="0.35">
      <c r="A376" s="231" t="s">
        <v>763</v>
      </c>
      <c r="B376" s="232"/>
      <c r="C376" s="232"/>
      <c r="D376" s="303"/>
      <c r="E376" s="326"/>
      <c r="F376" s="259"/>
      <c r="G376" s="232"/>
      <c r="H376" s="260"/>
      <c r="I376" s="258"/>
      <c r="J376" s="232"/>
      <c r="K376" s="251"/>
      <c r="L376" s="487"/>
      <c r="M376" s="508"/>
      <c r="N376" s="538" t="s">
        <v>249</v>
      </c>
      <c r="O376" s="234">
        <v>244</v>
      </c>
      <c r="P376" s="233">
        <v>225</v>
      </c>
      <c r="Q376" s="381"/>
      <c r="R376" s="263">
        <f>SUM(R377:R378)</f>
        <v>0</v>
      </c>
      <c r="S376" s="263">
        <f>SUM(S377:S378)</f>
        <v>0</v>
      </c>
      <c r="T376" s="263">
        <f>SUM(T377:T378)</f>
        <v>0</v>
      </c>
      <c r="U376" s="263">
        <f>SUM(U377:U378)</f>
        <v>0</v>
      </c>
      <c r="V376" s="263">
        <f>SUM(V377:V378)</f>
        <v>0</v>
      </c>
    </row>
    <row r="377" spans="1:30" s="45" customFormat="1" ht="15.6" outlineLevel="1" x14ac:dyDescent="0.3">
      <c r="A377" s="264" t="s">
        <v>560</v>
      </c>
      <c r="B377" s="208">
        <f>$W$2</f>
        <v>2023</v>
      </c>
      <c r="C377" s="419"/>
      <c r="D377" s="218"/>
      <c r="E377" s="217" t="s">
        <v>574</v>
      </c>
      <c r="F377" s="252"/>
      <c r="G377" s="218">
        <v>500</v>
      </c>
      <c r="H377" s="208" t="s">
        <v>520</v>
      </c>
      <c r="I377" s="219"/>
      <c r="J377" s="217"/>
      <c r="K377" s="250"/>
      <c r="L377" s="327"/>
      <c r="M377" s="509"/>
      <c r="N377" s="539"/>
      <c r="O377" s="221"/>
      <c r="P377" s="220"/>
      <c r="Q377" s="381">
        <v>1</v>
      </c>
      <c r="R377" s="222">
        <f>SUM(S377,T377,U377,V377)</f>
        <v>0</v>
      </c>
      <c r="S377" s="222"/>
      <c r="T377" s="222"/>
      <c r="U377" s="222"/>
      <c r="V377" s="222"/>
      <c r="AC377" s="414"/>
      <c r="AD377" s="471"/>
    </row>
    <row r="378" spans="1:30" ht="15.6" outlineLevel="1" x14ac:dyDescent="0.3">
      <c r="A378" s="264" t="s">
        <v>563</v>
      </c>
      <c r="B378" s="208">
        <f>$W$1</f>
        <v>2024</v>
      </c>
      <c r="C378" s="419"/>
      <c r="D378" s="218"/>
      <c r="E378" s="217" t="s">
        <v>574</v>
      </c>
      <c r="F378" s="252"/>
      <c r="G378" s="218">
        <v>500</v>
      </c>
      <c r="H378" s="208" t="s">
        <v>520</v>
      </c>
      <c r="I378" s="219"/>
      <c r="J378" s="217"/>
      <c r="K378" s="250"/>
      <c r="L378" s="327"/>
      <c r="M378" s="509"/>
      <c r="N378" s="539"/>
      <c r="O378" s="221"/>
      <c r="P378" s="220"/>
      <c r="Q378" s="381">
        <v>8</v>
      </c>
      <c r="R378" s="222">
        <f>SUM(S378,T378,U378,V378)</f>
        <v>0</v>
      </c>
      <c r="S378" s="222"/>
      <c r="T378" s="222"/>
      <c r="U378" s="222"/>
      <c r="V378" s="222"/>
    </row>
    <row r="379" spans="1:30" ht="15.6" x14ac:dyDescent="0.3">
      <c r="A379" s="240" t="s">
        <v>624</v>
      </c>
      <c r="B379" s="241"/>
      <c r="C379" s="241"/>
      <c r="D379" s="303"/>
      <c r="E379" s="241"/>
      <c r="F379" s="241"/>
      <c r="G379" s="303"/>
      <c r="H379" s="241"/>
      <c r="I379" s="301"/>
      <c r="J379" s="241"/>
      <c r="K379" s="251"/>
      <c r="L379" s="241"/>
      <c r="M379" s="499"/>
      <c r="N379" s="518"/>
      <c r="O379" s="296">
        <v>244</v>
      </c>
      <c r="P379" s="297">
        <v>225</v>
      </c>
      <c r="Q379" s="384"/>
      <c r="R379" s="215">
        <f>SUM(R380,R383,R389,R385,R387)</f>
        <v>0</v>
      </c>
      <c r="S379" s="215">
        <f>SUM(S380,S383,S389,S385,S387)</f>
        <v>0</v>
      </c>
      <c r="T379" s="215">
        <f>SUM(T380,T383,T389,T385,T387)</f>
        <v>0</v>
      </c>
      <c r="U379" s="215">
        <f>SUM(U380,U383,U389,U385,U387)</f>
        <v>0</v>
      </c>
      <c r="V379" s="215">
        <f>SUM(V380,V383,V389,V385,V387)</f>
        <v>0</v>
      </c>
    </row>
    <row r="380" spans="1:30" s="45" customFormat="1" ht="16.2" x14ac:dyDescent="0.35">
      <c r="A380" s="231" t="s">
        <v>625</v>
      </c>
      <c r="B380" s="232"/>
      <c r="C380" s="232"/>
      <c r="D380" s="303"/>
      <c r="E380" s="232"/>
      <c r="F380" s="259"/>
      <c r="G380" s="232"/>
      <c r="H380" s="260"/>
      <c r="I380" s="258"/>
      <c r="J380" s="232"/>
      <c r="K380" s="251"/>
      <c r="L380" s="232"/>
      <c r="M380" s="495" t="s">
        <v>334</v>
      </c>
      <c r="N380" s="536" t="s">
        <v>249</v>
      </c>
      <c r="O380" s="234">
        <v>244</v>
      </c>
      <c r="P380" s="233">
        <v>225</v>
      </c>
      <c r="Q380" s="381"/>
      <c r="R380" s="263">
        <f>SUM(R381:R382)</f>
        <v>0</v>
      </c>
      <c r="S380" s="263">
        <f>SUM(S381:S382)</f>
        <v>0</v>
      </c>
      <c r="T380" s="263">
        <f>SUM(T381:T382)</f>
        <v>0</v>
      </c>
      <c r="U380" s="263">
        <f>SUM(U381:U382)</f>
        <v>0</v>
      </c>
      <c r="V380" s="263">
        <f>SUM(V381:V382)</f>
        <v>0</v>
      </c>
      <c r="AC380" s="414"/>
      <c r="AD380" s="471"/>
    </row>
    <row r="381" spans="1:30" s="45" customFormat="1" ht="15.6" outlineLevel="1" x14ac:dyDescent="0.3">
      <c r="A381" s="264" t="s">
        <v>560</v>
      </c>
      <c r="B381" s="208">
        <f>$W$2</f>
        <v>2023</v>
      </c>
      <c r="C381" s="418"/>
      <c r="D381" s="218"/>
      <c r="E381" s="217" t="s">
        <v>574</v>
      </c>
      <c r="F381" s="217"/>
      <c r="G381" s="218">
        <v>800</v>
      </c>
      <c r="H381" s="208" t="s">
        <v>520</v>
      </c>
      <c r="I381" s="219"/>
      <c r="J381" s="217"/>
      <c r="K381" s="250"/>
      <c r="L381" s="217"/>
      <c r="M381" s="494"/>
      <c r="N381" s="535"/>
      <c r="O381" s="221"/>
      <c r="P381" s="220"/>
      <c r="Q381" s="381">
        <v>1</v>
      </c>
      <c r="R381" s="222">
        <f>SUM(S381,T381,U381,V381)</f>
        <v>0</v>
      </c>
      <c r="S381" s="222"/>
      <c r="T381" s="222"/>
      <c r="U381" s="222"/>
      <c r="V381" s="222"/>
      <c r="AC381" s="414"/>
      <c r="AD381" s="471"/>
    </row>
    <row r="382" spans="1:30" ht="15.6" outlineLevel="1" x14ac:dyDescent="0.3">
      <c r="A382" s="264" t="s">
        <v>563</v>
      </c>
      <c r="B382" s="208">
        <f>$W$1</f>
        <v>2024</v>
      </c>
      <c r="C382" s="418"/>
      <c r="D382" s="218"/>
      <c r="E382" s="217" t="s">
        <v>574</v>
      </c>
      <c r="F382" s="217"/>
      <c r="G382" s="218">
        <v>1200</v>
      </c>
      <c r="H382" s="208" t="s">
        <v>520</v>
      </c>
      <c r="I382" s="219"/>
      <c r="J382" s="217"/>
      <c r="K382" s="250"/>
      <c r="L382" s="217"/>
      <c r="M382" s="494"/>
      <c r="N382" s="535"/>
      <c r="O382" s="221"/>
      <c r="P382" s="220"/>
      <c r="Q382" s="381">
        <v>8</v>
      </c>
      <c r="R382" s="222">
        <f>SUM(S382,T382,U382,V382)</f>
        <v>0</v>
      </c>
      <c r="S382" s="222"/>
      <c r="T382" s="222"/>
      <c r="U382" s="222"/>
      <c r="V382" s="222"/>
    </row>
    <row r="383" spans="1:30" ht="16.2" x14ac:dyDescent="0.35">
      <c r="A383" s="231" t="s">
        <v>626</v>
      </c>
      <c r="B383" s="232"/>
      <c r="C383" s="232"/>
      <c r="D383" s="303"/>
      <c r="E383" s="232"/>
      <c r="F383" s="259"/>
      <c r="G383" s="232"/>
      <c r="H383" s="260"/>
      <c r="I383" s="258"/>
      <c r="J383" s="232"/>
      <c r="K383" s="251"/>
      <c r="L383" s="232"/>
      <c r="M383" s="495" t="s">
        <v>334</v>
      </c>
      <c r="N383" s="536" t="s">
        <v>249</v>
      </c>
      <c r="O383" s="234">
        <v>244</v>
      </c>
      <c r="P383" s="233">
        <v>225</v>
      </c>
      <c r="Q383" s="381"/>
      <c r="R383" s="229">
        <f>SUM(R384)</f>
        <v>0</v>
      </c>
      <c r="S383" s="229">
        <f>SUM(S384)</f>
        <v>0</v>
      </c>
      <c r="T383" s="229">
        <f>SUM(T384)</f>
        <v>0</v>
      </c>
      <c r="U383" s="229">
        <f>SUM(U384)</f>
        <v>0</v>
      </c>
      <c r="V383" s="229">
        <f>SUM(V384)</f>
        <v>0</v>
      </c>
    </row>
    <row r="384" spans="1:30" s="45" customFormat="1" ht="15.6" outlineLevel="1" x14ac:dyDescent="0.3">
      <c r="A384" s="216"/>
      <c r="B384" s="217"/>
      <c r="C384" s="217"/>
      <c r="D384" s="218"/>
      <c r="E384" s="217" t="s">
        <v>541</v>
      </c>
      <c r="F384" s="280" t="s">
        <v>519</v>
      </c>
      <c r="G384" s="218"/>
      <c r="H384" s="208" t="s">
        <v>520</v>
      </c>
      <c r="I384" s="219"/>
      <c r="J384" s="217"/>
      <c r="K384" s="250"/>
      <c r="L384" s="217"/>
      <c r="M384" s="494"/>
      <c r="N384" s="535"/>
      <c r="O384" s="221"/>
      <c r="P384" s="220"/>
      <c r="Q384" s="381"/>
      <c r="R384" s="222">
        <f>SUM(S384,T384,U384,V384)</f>
        <v>0</v>
      </c>
      <c r="S384" s="222"/>
      <c r="T384" s="222"/>
      <c r="U384" s="222"/>
      <c r="V384" s="222"/>
      <c r="AC384" s="414"/>
      <c r="AD384" s="471"/>
    </row>
    <row r="385" spans="1:30" ht="16.2" x14ac:dyDescent="0.35">
      <c r="A385" s="231" t="s">
        <v>878</v>
      </c>
      <c r="B385" s="232"/>
      <c r="C385" s="232"/>
      <c r="D385" s="303"/>
      <c r="E385" s="232"/>
      <c r="F385" s="259"/>
      <c r="G385" s="232"/>
      <c r="H385" s="260"/>
      <c r="I385" s="258"/>
      <c r="J385" s="232"/>
      <c r="K385" s="251"/>
      <c r="L385" s="232"/>
      <c r="M385" s="495" t="s">
        <v>334</v>
      </c>
      <c r="N385" s="536" t="s">
        <v>249</v>
      </c>
      <c r="O385" s="234">
        <v>244</v>
      </c>
      <c r="P385" s="233">
        <v>225</v>
      </c>
      <c r="Q385" s="381"/>
      <c r="R385" s="229">
        <f>SUM(R386)</f>
        <v>0</v>
      </c>
      <c r="S385" s="229">
        <f>SUM(S386)</f>
        <v>0</v>
      </c>
      <c r="T385" s="229">
        <f>SUM(T386)</f>
        <v>0</v>
      </c>
      <c r="U385" s="229">
        <f>SUM(U386)</f>
        <v>0</v>
      </c>
      <c r="V385" s="229">
        <f>SUM(V386)</f>
        <v>0</v>
      </c>
    </row>
    <row r="386" spans="1:30" s="45" customFormat="1" ht="15.6" outlineLevel="1" x14ac:dyDescent="0.3">
      <c r="A386" s="216"/>
      <c r="B386" s="217"/>
      <c r="C386" s="217"/>
      <c r="D386" s="218"/>
      <c r="E386" s="217" t="s">
        <v>541</v>
      </c>
      <c r="F386" s="280" t="s">
        <v>519</v>
      </c>
      <c r="G386" s="218"/>
      <c r="H386" s="208" t="s">
        <v>520</v>
      </c>
      <c r="I386" s="219"/>
      <c r="J386" s="217"/>
      <c r="K386" s="250"/>
      <c r="L386" s="217"/>
      <c r="M386" s="494"/>
      <c r="N386" s="535"/>
      <c r="O386" s="221"/>
      <c r="P386" s="220"/>
      <c r="Q386" s="381"/>
      <c r="R386" s="222">
        <f>SUM(S386,T386,U386,V386)</f>
        <v>0</v>
      </c>
      <c r="S386" s="222"/>
      <c r="T386" s="222"/>
      <c r="U386" s="222"/>
      <c r="V386" s="222"/>
      <c r="AC386" s="414"/>
      <c r="AD386" s="471"/>
    </row>
    <row r="387" spans="1:30" ht="16.2" x14ac:dyDescent="0.35">
      <c r="A387" s="231" t="s">
        <v>627</v>
      </c>
      <c r="B387" s="232"/>
      <c r="C387" s="232"/>
      <c r="D387" s="303"/>
      <c r="E387" s="232"/>
      <c r="F387" s="259"/>
      <c r="G387" s="232"/>
      <c r="H387" s="260"/>
      <c r="I387" s="258"/>
      <c r="J387" s="232"/>
      <c r="K387" s="251"/>
      <c r="L387" s="232"/>
      <c r="M387" s="495" t="s">
        <v>334</v>
      </c>
      <c r="N387" s="536" t="s">
        <v>249</v>
      </c>
      <c r="O387" s="234">
        <v>244</v>
      </c>
      <c r="P387" s="233">
        <v>225</v>
      </c>
      <c r="Q387" s="381"/>
      <c r="R387" s="229">
        <f>SUM(R388)</f>
        <v>0</v>
      </c>
      <c r="S387" s="229">
        <f>SUM(S388)</f>
        <v>0</v>
      </c>
      <c r="T387" s="229">
        <f>SUM(T388)</f>
        <v>0</v>
      </c>
      <c r="U387" s="229">
        <f>SUM(U388)</f>
        <v>0</v>
      </c>
      <c r="V387" s="229">
        <f>SUM(V388)</f>
        <v>0</v>
      </c>
    </row>
    <row r="388" spans="1:30" s="45" customFormat="1" ht="15.6" outlineLevel="1" x14ac:dyDescent="0.3">
      <c r="A388" s="216"/>
      <c r="B388" s="217"/>
      <c r="C388" s="217"/>
      <c r="D388" s="218"/>
      <c r="E388" s="217" t="s">
        <v>574</v>
      </c>
      <c r="F388" s="280" t="s">
        <v>519</v>
      </c>
      <c r="G388" s="218">
        <v>950</v>
      </c>
      <c r="H388" s="208" t="s">
        <v>520</v>
      </c>
      <c r="I388" s="219"/>
      <c r="J388" s="217"/>
      <c r="K388" s="250"/>
      <c r="L388" s="217"/>
      <c r="M388" s="494"/>
      <c r="N388" s="535"/>
      <c r="O388" s="221"/>
      <c r="P388" s="220"/>
      <c r="Q388" s="381"/>
      <c r="R388" s="222">
        <f>SUM(S388,T388,U388,V388)</f>
        <v>0</v>
      </c>
      <c r="S388" s="222"/>
      <c r="T388" s="222"/>
      <c r="U388" s="222"/>
      <c r="V388" s="222"/>
      <c r="AC388" s="414"/>
      <c r="AD388" s="471"/>
    </row>
    <row r="389" spans="1:30" ht="16.2" x14ac:dyDescent="0.35">
      <c r="A389" s="231" t="s">
        <v>628</v>
      </c>
      <c r="B389" s="232"/>
      <c r="C389" s="232"/>
      <c r="D389" s="303"/>
      <c r="E389" s="232"/>
      <c r="F389" s="259"/>
      <c r="G389" s="232"/>
      <c r="H389" s="260"/>
      <c r="I389" s="258"/>
      <c r="J389" s="232"/>
      <c r="K389" s="282"/>
      <c r="L389" s="232"/>
      <c r="M389" s="495" t="s">
        <v>334</v>
      </c>
      <c r="N389" s="536" t="s">
        <v>249</v>
      </c>
      <c r="O389" s="234">
        <v>244</v>
      </c>
      <c r="P389" s="233">
        <v>225</v>
      </c>
      <c r="Q389" s="381"/>
      <c r="R389" s="263">
        <f>SUM(R390:R403)</f>
        <v>0</v>
      </c>
      <c r="S389" s="263">
        <f>SUM(S390:S403)</f>
        <v>0</v>
      </c>
      <c r="T389" s="263">
        <f>SUM(T390:T403)</f>
        <v>0</v>
      </c>
      <c r="U389" s="263">
        <f>SUM(U390:U403)</f>
        <v>0</v>
      </c>
      <c r="V389" s="263">
        <f>SUM(V390:V403)</f>
        <v>0</v>
      </c>
    </row>
    <row r="390" spans="1:30" s="283" customFormat="1" ht="15.6" outlineLevel="1" x14ac:dyDescent="0.3">
      <c r="A390" s="216" t="s">
        <v>837</v>
      </c>
      <c r="B390" s="217"/>
      <c r="C390" s="217"/>
      <c r="D390" s="218"/>
      <c r="E390" s="217" t="s">
        <v>574</v>
      </c>
      <c r="F390" s="280" t="s">
        <v>519</v>
      </c>
      <c r="G390" s="218">
        <v>230</v>
      </c>
      <c r="H390" s="208" t="s">
        <v>520</v>
      </c>
      <c r="I390" s="219"/>
      <c r="J390" s="217"/>
      <c r="K390" s="250"/>
      <c r="L390" s="217"/>
      <c r="M390" s="494"/>
      <c r="N390" s="535"/>
      <c r="O390" s="221"/>
      <c r="P390" s="220"/>
      <c r="Q390" s="381"/>
      <c r="R390" s="222">
        <f t="shared" ref="R390:R403" si="4">SUM(S390,T390,U390,V390)</f>
        <v>0</v>
      </c>
      <c r="S390" s="222"/>
      <c r="T390" s="222"/>
      <c r="U390" s="222"/>
      <c r="V390" s="222"/>
      <c r="AC390" s="414"/>
      <c r="AD390" s="471"/>
    </row>
    <row r="391" spans="1:30" ht="15.6" outlineLevel="1" x14ac:dyDescent="0.3">
      <c r="A391" s="216" t="s">
        <v>792</v>
      </c>
      <c r="B391" s="217"/>
      <c r="C391" s="217"/>
      <c r="D391" s="218"/>
      <c r="E391" s="217" t="s">
        <v>574</v>
      </c>
      <c r="F391" s="280" t="s">
        <v>519</v>
      </c>
      <c r="G391" s="218">
        <v>160</v>
      </c>
      <c r="H391" s="208" t="s">
        <v>520</v>
      </c>
      <c r="I391" s="219"/>
      <c r="J391" s="217"/>
      <c r="K391" s="250"/>
      <c r="L391" s="217"/>
      <c r="M391" s="494"/>
      <c r="N391" s="535"/>
      <c r="O391" s="221"/>
      <c r="P391" s="220"/>
      <c r="Q391" s="381"/>
      <c r="R391" s="222">
        <f t="shared" si="4"/>
        <v>0</v>
      </c>
      <c r="S391" s="222"/>
      <c r="T391" s="222"/>
      <c r="U391" s="222"/>
      <c r="V391" s="222"/>
    </row>
    <row r="392" spans="1:30" ht="15.6" outlineLevel="1" x14ac:dyDescent="0.3">
      <c r="A392" s="216" t="s">
        <v>793</v>
      </c>
      <c r="B392" s="217"/>
      <c r="C392" s="217"/>
      <c r="D392" s="218"/>
      <c r="E392" s="217" t="s">
        <v>574</v>
      </c>
      <c r="F392" s="280" t="s">
        <v>519</v>
      </c>
      <c r="G392" s="218">
        <v>160</v>
      </c>
      <c r="H392" s="208" t="s">
        <v>520</v>
      </c>
      <c r="I392" s="219"/>
      <c r="J392" s="217"/>
      <c r="K392" s="250"/>
      <c r="L392" s="217"/>
      <c r="M392" s="494"/>
      <c r="N392" s="535"/>
      <c r="O392" s="221"/>
      <c r="P392" s="220"/>
      <c r="Q392" s="381"/>
      <c r="R392" s="222">
        <f>SUM(S392,T392,U392,V392)</f>
        <v>0</v>
      </c>
      <c r="S392" s="222"/>
      <c r="T392" s="222"/>
      <c r="U392" s="222"/>
      <c r="V392" s="222"/>
    </row>
    <row r="393" spans="1:30" ht="15.6" outlineLevel="1" x14ac:dyDescent="0.3">
      <c r="A393" s="216" t="s">
        <v>794</v>
      </c>
      <c r="B393" s="217"/>
      <c r="C393" s="217"/>
      <c r="D393" s="218"/>
      <c r="E393" s="217" t="s">
        <v>574</v>
      </c>
      <c r="F393" s="280" t="s">
        <v>519</v>
      </c>
      <c r="G393" s="218">
        <v>90</v>
      </c>
      <c r="H393" s="208" t="s">
        <v>520</v>
      </c>
      <c r="I393" s="219"/>
      <c r="J393" s="217"/>
      <c r="K393" s="250"/>
      <c r="L393" s="217"/>
      <c r="M393" s="494"/>
      <c r="N393" s="535"/>
      <c r="O393" s="221"/>
      <c r="P393" s="220"/>
      <c r="Q393" s="381"/>
      <c r="R393" s="222">
        <f t="shared" si="4"/>
        <v>0</v>
      </c>
      <c r="S393" s="222"/>
      <c r="T393" s="222"/>
      <c r="U393" s="222"/>
      <c r="V393" s="222"/>
    </row>
    <row r="394" spans="1:30" ht="15.6" outlineLevel="1" x14ac:dyDescent="0.3">
      <c r="A394" s="216" t="s">
        <v>795</v>
      </c>
      <c r="B394" s="217"/>
      <c r="C394" s="217"/>
      <c r="D394" s="218"/>
      <c r="E394" s="217" t="s">
        <v>574</v>
      </c>
      <c r="F394" s="280" t="s">
        <v>519</v>
      </c>
      <c r="G394" s="218">
        <v>120</v>
      </c>
      <c r="H394" s="208" t="s">
        <v>520</v>
      </c>
      <c r="I394" s="219"/>
      <c r="J394" s="217"/>
      <c r="K394" s="250"/>
      <c r="L394" s="217"/>
      <c r="M394" s="494"/>
      <c r="N394" s="535"/>
      <c r="O394" s="221"/>
      <c r="P394" s="220"/>
      <c r="Q394" s="381"/>
      <c r="R394" s="222">
        <f t="shared" si="4"/>
        <v>0</v>
      </c>
      <c r="S394" s="222"/>
      <c r="T394" s="222"/>
      <c r="U394" s="222"/>
      <c r="V394" s="222"/>
    </row>
    <row r="395" spans="1:30" ht="15.6" outlineLevel="1" x14ac:dyDescent="0.3">
      <c r="A395" s="216" t="s">
        <v>797</v>
      </c>
      <c r="B395" s="217"/>
      <c r="C395" s="217"/>
      <c r="D395" s="218"/>
      <c r="E395" s="217" t="s">
        <v>574</v>
      </c>
      <c r="F395" s="280" t="s">
        <v>519</v>
      </c>
      <c r="G395" s="218">
        <v>191</v>
      </c>
      <c r="H395" s="208" t="s">
        <v>520</v>
      </c>
      <c r="I395" s="219"/>
      <c r="J395" s="217"/>
      <c r="K395" s="250"/>
      <c r="L395" s="217"/>
      <c r="M395" s="494"/>
      <c r="N395" s="535"/>
      <c r="O395" s="221"/>
      <c r="P395" s="220"/>
      <c r="Q395" s="381"/>
      <c r="R395" s="222">
        <f t="shared" si="4"/>
        <v>0</v>
      </c>
      <c r="S395" s="222"/>
      <c r="T395" s="222"/>
      <c r="U395" s="222"/>
      <c r="V395" s="222"/>
    </row>
    <row r="396" spans="1:30" ht="15.6" outlineLevel="1" x14ac:dyDescent="0.3">
      <c r="A396" s="216" t="s">
        <v>794</v>
      </c>
      <c r="B396" s="217"/>
      <c r="C396" s="217"/>
      <c r="D396" s="218"/>
      <c r="E396" s="217" t="s">
        <v>574</v>
      </c>
      <c r="F396" s="280" t="s">
        <v>519</v>
      </c>
      <c r="G396" s="218">
        <v>77</v>
      </c>
      <c r="H396" s="208" t="s">
        <v>520</v>
      </c>
      <c r="I396" s="219"/>
      <c r="J396" s="217"/>
      <c r="K396" s="250"/>
      <c r="L396" s="217"/>
      <c r="M396" s="494"/>
      <c r="N396" s="535"/>
      <c r="O396" s="221"/>
      <c r="P396" s="220"/>
      <c r="Q396" s="381"/>
      <c r="R396" s="222">
        <f t="shared" si="4"/>
        <v>0</v>
      </c>
      <c r="S396" s="222"/>
      <c r="T396" s="222"/>
      <c r="U396" s="222"/>
      <c r="V396" s="222"/>
    </row>
    <row r="397" spans="1:30" ht="15.6" outlineLevel="1" x14ac:dyDescent="0.3">
      <c r="A397" s="216" t="s">
        <v>792</v>
      </c>
      <c r="B397" s="217"/>
      <c r="C397" s="217"/>
      <c r="D397" s="218"/>
      <c r="E397" s="217" t="s">
        <v>574</v>
      </c>
      <c r="F397" s="280" t="s">
        <v>519</v>
      </c>
      <c r="G397" s="218">
        <v>160</v>
      </c>
      <c r="H397" s="208" t="s">
        <v>520</v>
      </c>
      <c r="I397" s="219"/>
      <c r="J397" s="217"/>
      <c r="K397" s="250"/>
      <c r="L397" s="217"/>
      <c r="M397" s="494"/>
      <c r="N397" s="535"/>
      <c r="O397" s="221"/>
      <c r="P397" s="220"/>
      <c r="Q397" s="381"/>
      <c r="R397" s="222">
        <f>SUM(S397,T397,U397,V397)</f>
        <v>0</v>
      </c>
      <c r="S397" s="222"/>
      <c r="T397" s="222"/>
      <c r="U397" s="222"/>
      <c r="V397" s="222"/>
    </row>
    <row r="398" spans="1:30" ht="15.6" outlineLevel="1" x14ac:dyDescent="0.3">
      <c r="A398" s="216" t="s">
        <v>792</v>
      </c>
      <c r="B398" s="217"/>
      <c r="C398" s="217"/>
      <c r="D398" s="218"/>
      <c r="E398" s="217" t="s">
        <v>574</v>
      </c>
      <c r="F398" s="280" t="s">
        <v>519</v>
      </c>
      <c r="G398" s="218">
        <v>80</v>
      </c>
      <c r="H398" s="208" t="s">
        <v>520</v>
      </c>
      <c r="I398" s="219"/>
      <c r="J398" s="217"/>
      <c r="K398" s="250"/>
      <c r="L398" s="217"/>
      <c r="M398" s="494"/>
      <c r="N398" s="535"/>
      <c r="O398" s="221"/>
      <c r="P398" s="220"/>
      <c r="Q398" s="381"/>
      <c r="R398" s="222">
        <f>SUM(S398,T398,U398,V398)</f>
        <v>0</v>
      </c>
      <c r="S398" s="222"/>
      <c r="T398" s="222"/>
      <c r="U398" s="222"/>
      <c r="V398" s="222"/>
    </row>
    <row r="399" spans="1:30" ht="15.6" outlineLevel="1" x14ac:dyDescent="0.3">
      <c r="A399" s="216" t="s">
        <v>793</v>
      </c>
      <c r="B399" s="217"/>
      <c r="C399" s="217"/>
      <c r="D399" s="218"/>
      <c r="E399" s="217" t="s">
        <v>574</v>
      </c>
      <c r="F399" s="280" t="s">
        <v>519</v>
      </c>
      <c r="G399" s="218">
        <v>350</v>
      </c>
      <c r="H399" s="208" t="s">
        <v>520</v>
      </c>
      <c r="I399" s="219"/>
      <c r="J399" s="217"/>
      <c r="K399" s="250"/>
      <c r="L399" s="217"/>
      <c r="M399" s="494"/>
      <c r="N399" s="535"/>
      <c r="O399" s="221"/>
      <c r="P399" s="220"/>
      <c r="Q399" s="381"/>
      <c r="R399" s="222">
        <f>SUM(S399,T399,U399,V399)</f>
        <v>0</v>
      </c>
      <c r="S399" s="222"/>
      <c r="T399" s="222"/>
      <c r="U399" s="222"/>
      <c r="V399" s="222"/>
    </row>
    <row r="400" spans="1:30" ht="15.6" outlineLevel="1" x14ac:dyDescent="0.3">
      <c r="A400" s="216" t="s">
        <v>793</v>
      </c>
      <c r="B400" s="217"/>
      <c r="C400" s="217"/>
      <c r="D400" s="218"/>
      <c r="E400" s="217" t="s">
        <v>574</v>
      </c>
      <c r="F400" s="280" t="s">
        <v>519</v>
      </c>
      <c r="G400" s="218">
        <v>80</v>
      </c>
      <c r="H400" s="208" t="s">
        <v>520</v>
      </c>
      <c r="I400" s="219"/>
      <c r="J400" s="217"/>
      <c r="K400" s="250"/>
      <c r="L400" s="217"/>
      <c r="M400" s="494"/>
      <c r="N400" s="535"/>
      <c r="O400" s="221"/>
      <c r="P400" s="220"/>
      <c r="Q400" s="381"/>
      <c r="R400" s="222">
        <f>SUM(S400,T400,U400,V400)</f>
        <v>0</v>
      </c>
      <c r="S400" s="222"/>
      <c r="T400" s="222"/>
      <c r="U400" s="222"/>
      <c r="V400" s="222"/>
    </row>
    <row r="401" spans="1:30" ht="15.6" outlineLevel="1" x14ac:dyDescent="0.3">
      <c r="A401" s="216" t="s">
        <v>797</v>
      </c>
      <c r="B401" s="217"/>
      <c r="C401" s="217"/>
      <c r="D401" s="218"/>
      <c r="E401" s="217" t="s">
        <v>574</v>
      </c>
      <c r="F401" s="280" t="s">
        <v>519</v>
      </c>
      <c r="G401" s="218">
        <v>100</v>
      </c>
      <c r="H401" s="208" t="s">
        <v>520</v>
      </c>
      <c r="I401" s="219"/>
      <c r="J401" s="217"/>
      <c r="K401" s="250"/>
      <c r="L401" s="217"/>
      <c r="M401" s="494"/>
      <c r="N401" s="535"/>
      <c r="O401" s="221"/>
      <c r="P401" s="220"/>
      <c r="Q401" s="381"/>
      <c r="R401" s="222">
        <f>SUM(S401,T401,U401,V401)</f>
        <v>0</v>
      </c>
      <c r="S401" s="222"/>
      <c r="T401" s="222"/>
      <c r="U401" s="222"/>
      <c r="V401" s="222"/>
    </row>
    <row r="402" spans="1:30" ht="15.6" outlineLevel="1" x14ac:dyDescent="0.3">
      <c r="A402" s="216" t="s">
        <v>795</v>
      </c>
      <c r="B402" s="217"/>
      <c r="C402" s="217"/>
      <c r="D402" s="218"/>
      <c r="E402" s="217" t="s">
        <v>574</v>
      </c>
      <c r="F402" s="280" t="s">
        <v>519</v>
      </c>
      <c r="G402" s="218">
        <v>65</v>
      </c>
      <c r="H402" s="208" t="s">
        <v>520</v>
      </c>
      <c r="I402" s="219"/>
      <c r="J402" s="217"/>
      <c r="K402" s="250"/>
      <c r="L402" s="217"/>
      <c r="M402" s="494"/>
      <c r="N402" s="535"/>
      <c r="O402" s="221"/>
      <c r="P402" s="220"/>
      <c r="Q402" s="381"/>
      <c r="R402" s="222">
        <f t="shared" si="4"/>
        <v>0</v>
      </c>
      <c r="S402" s="222"/>
      <c r="T402" s="222"/>
      <c r="U402" s="222"/>
      <c r="V402" s="222"/>
    </row>
    <row r="403" spans="1:30" ht="15.6" outlineLevel="1" x14ac:dyDescent="0.3">
      <c r="A403" s="216"/>
      <c r="B403" s="217"/>
      <c r="C403" s="217"/>
      <c r="D403" s="218"/>
      <c r="E403" s="217" t="s">
        <v>574</v>
      </c>
      <c r="F403" s="280" t="s">
        <v>519</v>
      </c>
      <c r="G403" s="218"/>
      <c r="H403" s="208" t="s">
        <v>520</v>
      </c>
      <c r="I403" s="219"/>
      <c r="J403" s="217"/>
      <c r="K403" s="250"/>
      <c r="L403" s="217"/>
      <c r="M403" s="494"/>
      <c r="N403" s="535"/>
      <c r="O403" s="221"/>
      <c r="P403" s="220"/>
      <c r="Q403" s="381"/>
      <c r="R403" s="222">
        <f t="shared" si="4"/>
        <v>0</v>
      </c>
      <c r="S403" s="222"/>
      <c r="T403" s="222"/>
      <c r="U403" s="222"/>
      <c r="V403" s="222"/>
    </row>
    <row r="404" spans="1:30" ht="15.6" x14ac:dyDescent="0.3">
      <c r="A404" s="240" t="s">
        <v>630</v>
      </c>
      <c r="B404" s="241"/>
      <c r="C404" s="241"/>
      <c r="D404" s="241"/>
      <c r="E404" s="286"/>
      <c r="F404" s="251"/>
      <c r="G404" s="251"/>
      <c r="H404" s="251"/>
      <c r="I404" s="251"/>
      <c r="J404" s="251"/>
      <c r="K404" s="251"/>
      <c r="L404" s="241"/>
      <c r="M404" s="499"/>
      <c r="N404" s="518"/>
      <c r="O404" s="296">
        <v>244</v>
      </c>
      <c r="P404" s="297">
        <v>225</v>
      </c>
      <c r="Q404" s="384"/>
      <c r="R404" s="207">
        <f>SUM(R405:R407)</f>
        <v>0</v>
      </c>
      <c r="S404" s="207">
        <f>SUM(S405:S407)</f>
        <v>0</v>
      </c>
      <c r="T404" s="207">
        <f>SUM(T405:T407)</f>
        <v>0</v>
      </c>
      <c r="U404" s="207">
        <f>SUM(U405:U407)</f>
        <v>0</v>
      </c>
      <c r="V404" s="207">
        <f>SUM(V405:V407)</f>
        <v>0</v>
      </c>
    </row>
    <row r="405" spans="1:30" s="45" customFormat="1" ht="16.2" outlineLevel="1" x14ac:dyDescent="0.35">
      <c r="A405" s="231" t="s">
        <v>631</v>
      </c>
      <c r="B405" s="232"/>
      <c r="C405" s="232"/>
      <c r="D405" s="232"/>
      <c r="E405" s="232"/>
      <c r="F405" s="259"/>
      <c r="G405" s="232"/>
      <c r="H405" s="260"/>
      <c r="I405" s="258"/>
      <c r="J405" s="232"/>
      <c r="K405" s="251"/>
      <c r="L405" s="232"/>
      <c r="M405" s="495"/>
      <c r="N405" s="536"/>
      <c r="O405" s="234">
        <v>244</v>
      </c>
      <c r="P405" s="233">
        <v>225</v>
      </c>
      <c r="Q405" s="381"/>
      <c r="R405" s="229">
        <f>SUM(S405,T405,U405,V405)</f>
        <v>0</v>
      </c>
      <c r="S405" s="229"/>
      <c r="T405" s="229"/>
      <c r="U405" s="229"/>
      <c r="V405" s="229"/>
      <c r="AC405" s="414"/>
      <c r="AD405" s="471"/>
    </row>
    <row r="406" spans="1:30" s="45" customFormat="1" ht="16.2" outlineLevel="1" x14ac:dyDescent="0.35">
      <c r="A406" s="231" t="s">
        <v>632</v>
      </c>
      <c r="B406" s="232"/>
      <c r="C406" s="232"/>
      <c r="D406" s="232"/>
      <c r="E406" s="232"/>
      <c r="F406" s="259"/>
      <c r="G406" s="232"/>
      <c r="H406" s="260"/>
      <c r="I406" s="258"/>
      <c r="J406" s="232"/>
      <c r="K406" s="251"/>
      <c r="L406" s="232"/>
      <c r="M406" s="495"/>
      <c r="N406" s="536"/>
      <c r="O406" s="234">
        <v>244</v>
      </c>
      <c r="P406" s="233">
        <v>225</v>
      </c>
      <c r="Q406" s="381"/>
      <c r="R406" s="229">
        <f>SUM(S406,T406,U406,V406)</f>
        <v>0</v>
      </c>
      <c r="S406" s="229"/>
      <c r="T406" s="229"/>
      <c r="U406" s="229"/>
      <c r="V406" s="229"/>
      <c r="AC406" s="414"/>
      <c r="AD406" s="471"/>
    </row>
    <row r="407" spans="1:30" s="45" customFormat="1" ht="16.2" outlineLevel="1" x14ac:dyDescent="0.35">
      <c r="A407" s="231" t="s">
        <v>633</v>
      </c>
      <c r="B407" s="232"/>
      <c r="C407" s="232"/>
      <c r="D407" s="232"/>
      <c r="E407" s="232"/>
      <c r="F407" s="259"/>
      <c r="G407" s="232"/>
      <c r="H407" s="260"/>
      <c r="I407" s="258"/>
      <c r="J407" s="232"/>
      <c r="K407" s="251"/>
      <c r="L407" s="232"/>
      <c r="M407" s="495"/>
      <c r="N407" s="536"/>
      <c r="O407" s="234">
        <v>244</v>
      </c>
      <c r="P407" s="233">
        <v>225</v>
      </c>
      <c r="Q407" s="381"/>
      <c r="R407" s="229">
        <f>SUM(S407,T407,U407,V407)</f>
        <v>0</v>
      </c>
      <c r="S407" s="229"/>
      <c r="T407" s="229"/>
      <c r="U407" s="229"/>
      <c r="V407" s="229"/>
      <c r="AC407" s="414"/>
      <c r="AD407" s="471"/>
    </row>
    <row r="408" spans="1:30" s="45" customFormat="1" ht="16.2" x14ac:dyDescent="0.35">
      <c r="A408" s="240" t="s">
        <v>634</v>
      </c>
      <c r="B408" s="241"/>
      <c r="C408" s="241"/>
      <c r="D408" s="241"/>
      <c r="E408" s="241"/>
      <c r="F408" s="259"/>
      <c r="G408" s="232"/>
      <c r="H408" s="260"/>
      <c r="I408" s="258"/>
      <c r="J408" s="232"/>
      <c r="K408" s="251"/>
      <c r="L408" s="241"/>
      <c r="M408" s="499"/>
      <c r="N408" s="518"/>
      <c r="O408" s="296">
        <v>244</v>
      </c>
      <c r="P408" s="297">
        <v>225</v>
      </c>
      <c r="Q408" s="384"/>
      <c r="R408" s="207">
        <f>SUM(S408,T408,U408,V408)</f>
        <v>0</v>
      </c>
      <c r="S408" s="207"/>
      <c r="T408" s="207"/>
      <c r="U408" s="207"/>
      <c r="V408" s="207"/>
      <c r="AC408" s="414"/>
      <c r="AD408" s="471"/>
    </row>
    <row r="409" spans="1:30" s="45" customFormat="1" ht="15.6" x14ac:dyDescent="0.3">
      <c r="A409" s="240" t="s">
        <v>635</v>
      </c>
      <c r="B409" s="241"/>
      <c r="C409" s="241"/>
      <c r="D409" s="241"/>
      <c r="E409" s="241"/>
      <c r="F409" s="182"/>
      <c r="G409" s="241"/>
      <c r="H409" s="241"/>
      <c r="I409" s="183"/>
      <c r="J409" s="182"/>
      <c r="K409" s="251"/>
      <c r="L409" s="241"/>
      <c r="M409" s="499" t="s">
        <v>277</v>
      </c>
      <c r="N409" s="518"/>
      <c r="O409" s="296">
        <v>244</v>
      </c>
      <c r="P409" s="297">
        <v>225</v>
      </c>
      <c r="Q409" s="384"/>
      <c r="R409" s="207">
        <f>R410+R411+R412+R420+R421+R419+R418+R417</f>
        <v>0</v>
      </c>
      <c r="S409" s="207">
        <f>S410+S411+S412+S420+S421+S419+S418+S417</f>
        <v>0</v>
      </c>
      <c r="T409" s="207">
        <f>T410+T411+T412+T420+T421+T419+T418+T417</f>
        <v>0</v>
      </c>
      <c r="U409" s="207">
        <f>U410+U411+U412+U420+U421+U419+U418+U417</f>
        <v>0</v>
      </c>
      <c r="V409" s="207">
        <f>V410+V411+V412+V420+V421+V419+V418+V417</f>
        <v>0</v>
      </c>
      <c r="AC409" s="414"/>
      <c r="AD409" s="471"/>
    </row>
    <row r="410" spans="1:30" s="45" customFormat="1" ht="16.2" outlineLevel="1" x14ac:dyDescent="0.35">
      <c r="A410" s="328" t="s">
        <v>781</v>
      </c>
      <c r="B410" s="232"/>
      <c r="C410" s="232"/>
      <c r="D410" s="232"/>
      <c r="E410" s="329"/>
      <c r="F410" s="259"/>
      <c r="G410" s="232"/>
      <c r="H410" s="260"/>
      <c r="I410" s="258"/>
      <c r="J410" s="232"/>
      <c r="K410" s="251"/>
      <c r="L410" s="232"/>
      <c r="M410" s="495"/>
      <c r="N410" s="536"/>
      <c r="O410" s="234">
        <v>244</v>
      </c>
      <c r="P410" s="233">
        <v>225</v>
      </c>
      <c r="Q410" s="381"/>
      <c r="R410" s="229">
        <f t="shared" ref="R410:R422" si="5">SUM(S410,T410,U410,V410)</f>
        <v>0</v>
      </c>
      <c r="S410" s="229"/>
      <c r="T410" s="229"/>
      <c r="U410" s="229"/>
      <c r="V410" s="582"/>
      <c r="AC410" s="414"/>
      <c r="AD410" s="471"/>
    </row>
    <row r="411" spans="1:30" s="45" customFormat="1" ht="16.2" outlineLevel="1" x14ac:dyDescent="0.35">
      <c r="A411" s="328" t="s">
        <v>742</v>
      </c>
      <c r="B411" s="232"/>
      <c r="C411" s="218"/>
      <c r="D411" s="218"/>
      <c r="E411" s="217" t="s">
        <v>574</v>
      </c>
      <c r="F411" s="280" t="s">
        <v>519</v>
      </c>
      <c r="G411" s="218">
        <v>12000</v>
      </c>
      <c r="H411" s="208" t="s">
        <v>520</v>
      </c>
      <c r="I411" s="218">
        <v>12250</v>
      </c>
      <c r="J411" s="208" t="s">
        <v>520</v>
      </c>
      <c r="K411" s="251"/>
      <c r="L411" s="232"/>
      <c r="M411" s="495"/>
      <c r="N411" s="536"/>
      <c r="O411" s="234">
        <v>244</v>
      </c>
      <c r="P411" s="233">
        <v>225</v>
      </c>
      <c r="Q411" s="381"/>
      <c r="R411" s="229">
        <f t="shared" si="5"/>
        <v>0</v>
      </c>
      <c r="S411" s="229"/>
      <c r="T411" s="229"/>
      <c r="U411" s="229"/>
      <c r="V411" s="229"/>
      <c r="AC411" s="414"/>
      <c r="AD411" s="471"/>
    </row>
    <row r="412" spans="1:30" s="283" customFormat="1" ht="16.2" outlineLevel="1" x14ac:dyDescent="0.35">
      <c r="A412" s="231" t="s">
        <v>727</v>
      </c>
      <c r="B412" s="232"/>
      <c r="C412" s="232"/>
      <c r="D412" s="336"/>
      <c r="E412" s="232"/>
      <c r="F412" s="259"/>
      <c r="G412" s="232"/>
      <c r="H412" s="260"/>
      <c r="I412" s="258"/>
      <c r="J412" s="232"/>
      <c r="K412" s="282"/>
      <c r="L412" s="232"/>
      <c r="M412" s="495"/>
      <c r="N412" s="536"/>
      <c r="O412" s="234">
        <v>244</v>
      </c>
      <c r="P412" s="233">
        <v>225</v>
      </c>
      <c r="Q412" s="381"/>
      <c r="R412" s="229">
        <f>SUM(R413:R416)</f>
        <v>0</v>
      </c>
      <c r="S412" s="229">
        <f>SUM(S413:S416)</f>
        <v>0</v>
      </c>
      <c r="T412" s="229">
        <f>SUM(T413:T416)</f>
        <v>0</v>
      </c>
      <c r="U412" s="229">
        <f>SUM(U413:U416)</f>
        <v>0</v>
      </c>
      <c r="V412" s="229">
        <f>SUM(V413:V416)</f>
        <v>0</v>
      </c>
      <c r="AC412" s="414"/>
      <c r="AD412" s="471"/>
    </row>
    <row r="413" spans="1:30" s="283" customFormat="1" ht="15.6" outlineLevel="1" x14ac:dyDescent="0.3">
      <c r="A413" s="216" t="s">
        <v>728</v>
      </c>
      <c r="B413" s="217"/>
      <c r="C413" s="217"/>
      <c r="D413" s="218"/>
      <c r="E413" s="217" t="s">
        <v>574</v>
      </c>
      <c r="F413" s="217" t="s">
        <v>519</v>
      </c>
      <c r="G413" s="218">
        <v>10000</v>
      </c>
      <c r="H413" s="208" t="s">
        <v>520</v>
      </c>
      <c r="I413" s="219"/>
      <c r="J413" s="217"/>
      <c r="K413" s="250"/>
      <c r="L413" s="217"/>
      <c r="M413" s="494"/>
      <c r="N413" s="535"/>
      <c r="O413" s="221">
        <v>244</v>
      </c>
      <c r="P413" s="220">
        <v>225</v>
      </c>
      <c r="Q413" s="381"/>
      <c r="R413" s="222">
        <f>SUM(S413,T413,U413,V413)</f>
        <v>0</v>
      </c>
      <c r="S413" s="222"/>
      <c r="T413" s="222"/>
      <c r="U413" s="222"/>
      <c r="V413" s="222"/>
      <c r="AC413" s="414"/>
      <c r="AD413" s="471"/>
    </row>
    <row r="414" spans="1:30" s="283" customFormat="1" ht="15.6" outlineLevel="1" x14ac:dyDescent="0.3">
      <c r="A414" s="216" t="s">
        <v>730</v>
      </c>
      <c r="B414" s="217"/>
      <c r="C414" s="217"/>
      <c r="D414" s="218"/>
      <c r="E414" s="217" t="s">
        <v>574</v>
      </c>
      <c r="F414" s="217" t="s">
        <v>519</v>
      </c>
      <c r="G414" s="218">
        <v>80000</v>
      </c>
      <c r="H414" s="208" t="s">
        <v>520</v>
      </c>
      <c r="I414" s="219"/>
      <c r="J414" s="217"/>
      <c r="K414" s="250"/>
      <c r="L414" s="217"/>
      <c r="M414" s="494"/>
      <c r="N414" s="535"/>
      <c r="O414" s="221">
        <v>244</v>
      </c>
      <c r="P414" s="220">
        <v>225</v>
      </c>
      <c r="Q414" s="381"/>
      <c r="R414" s="222">
        <f>SUM(S414,T414,U414,V414)</f>
        <v>0</v>
      </c>
      <c r="S414" s="222"/>
      <c r="T414" s="222"/>
      <c r="U414" s="222"/>
      <c r="V414" s="222"/>
      <c r="AC414" s="414"/>
      <c r="AD414" s="471"/>
    </row>
    <row r="415" spans="1:30" ht="15.6" outlineLevel="1" x14ac:dyDescent="0.3">
      <c r="A415" s="216" t="s">
        <v>729</v>
      </c>
      <c r="B415" s="217"/>
      <c r="C415" s="217"/>
      <c r="D415" s="218"/>
      <c r="E415" s="217" t="s">
        <v>574</v>
      </c>
      <c r="F415" s="217" t="s">
        <v>519</v>
      </c>
      <c r="G415" s="218">
        <f>69758/2</f>
        <v>34879</v>
      </c>
      <c r="H415" s="208" t="s">
        <v>520</v>
      </c>
      <c r="I415" s="219"/>
      <c r="J415" s="217"/>
      <c r="K415" s="250"/>
      <c r="L415" s="217"/>
      <c r="M415" s="494"/>
      <c r="N415" s="535"/>
      <c r="O415" s="221">
        <v>244</v>
      </c>
      <c r="P415" s="220">
        <v>225</v>
      </c>
      <c r="Q415" s="381"/>
      <c r="R415" s="222">
        <f>SUM(S415,T415,U415,V415)</f>
        <v>0</v>
      </c>
      <c r="S415" s="222"/>
      <c r="T415" s="222"/>
      <c r="U415" s="222"/>
      <c r="V415" s="222"/>
    </row>
    <row r="416" spans="1:30" ht="15.6" outlineLevel="1" x14ac:dyDescent="0.3">
      <c r="A416" s="216" t="s">
        <v>843</v>
      </c>
      <c r="B416" s="217"/>
      <c r="C416" s="217"/>
      <c r="D416" s="259"/>
      <c r="E416" s="217"/>
      <c r="F416" s="280"/>
      <c r="G416" s="259"/>
      <c r="H416" s="208"/>
      <c r="I416" s="208"/>
      <c r="J416" s="217"/>
      <c r="K416" s="250"/>
      <c r="L416" s="217"/>
      <c r="M416" s="494"/>
      <c r="N416" s="535"/>
      <c r="O416" s="221">
        <v>244</v>
      </c>
      <c r="P416" s="220">
        <v>225</v>
      </c>
      <c r="Q416" s="381"/>
      <c r="R416" s="222">
        <f t="shared" si="5"/>
        <v>0</v>
      </c>
      <c r="S416" s="222"/>
      <c r="T416" s="222"/>
      <c r="U416" s="222"/>
      <c r="V416" s="222"/>
      <c r="AC416" s="478"/>
      <c r="AD416" s="479"/>
    </row>
    <row r="417" spans="1:30" s="45" customFormat="1" ht="16.2" outlineLevel="1" x14ac:dyDescent="0.35">
      <c r="A417" s="231" t="s">
        <v>982</v>
      </c>
      <c r="B417" s="232"/>
      <c r="C417" s="232"/>
      <c r="D417" s="218"/>
      <c r="E417" s="217" t="s">
        <v>574</v>
      </c>
      <c r="F417" s="280" t="s">
        <v>519</v>
      </c>
      <c r="G417" s="218"/>
      <c r="H417" s="208" t="s">
        <v>520</v>
      </c>
      <c r="I417" s="258"/>
      <c r="J417" s="232"/>
      <c r="K417" s="251"/>
      <c r="L417" s="232"/>
      <c r="M417" s="495"/>
      <c r="N417" s="536"/>
      <c r="O417" s="234">
        <v>244</v>
      </c>
      <c r="P417" s="233">
        <v>225</v>
      </c>
      <c r="Q417" s="381"/>
      <c r="R417" s="229">
        <f t="shared" si="5"/>
        <v>0</v>
      </c>
      <c r="S417" s="229"/>
      <c r="T417" s="229"/>
      <c r="U417" s="229"/>
      <c r="V417" s="229"/>
      <c r="AC417" s="414"/>
      <c r="AD417" s="471"/>
    </row>
    <row r="418" spans="1:30" s="45" customFormat="1" ht="16.2" outlineLevel="1" x14ac:dyDescent="0.35">
      <c r="A418" s="231" t="s">
        <v>826</v>
      </c>
      <c r="B418" s="232"/>
      <c r="C418" s="232"/>
      <c r="D418" s="218"/>
      <c r="E418" s="217" t="s">
        <v>574</v>
      </c>
      <c r="F418" s="280" t="s">
        <v>519</v>
      </c>
      <c r="G418" s="218">
        <v>25047.31</v>
      </c>
      <c r="H418" s="208" t="s">
        <v>520</v>
      </c>
      <c r="I418" s="258"/>
      <c r="J418" s="232"/>
      <c r="K418" s="251"/>
      <c r="L418" s="232"/>
      <c r="M418" s="495"/>
      <c r="N418" s="536"/>
      <c r="O418" s="234">
        <v>244</v>
      </c>
      <c r="P418" s="233">
        <v>225</v>
      </c>
      <c r="Q418" s="381"/>
      <c r="R418" s="229">
        <f>SUM(S418,T418,U418,V418)</f>
        <v>0</v>
      </c>
      <c r="S418" s="229"/>
      <c r="T418" s="229"/>
      <c r="U418" s="229"/>
      <c r="V418" s="229"/>
      <c r="AC418" s="414"/>
      <c r="AD418" s="471"/>
    </row>
    <row r="419" spans="1:30" s="45" customFormat="1" ht="16.2" outlineLevel="1" x14ac:dyDescent="0.35">
      <c r="A419" s="231" t="s">
        <v>787</v>
      </c>
      <c r="B419" s="232"/>
      <c r="C419" s="232"/>
      <c r="D419" s="259"/>
      <c r="E419" s="217"/>
      <c r="F419" s="280"/>
      <c r="G419" s="259"/>
      <c r="H419" s="208"/>
      <c r="I419" s="258"/>
      <c r="J419" s="232"/>
      <c r="K419" s="251"/>
      <c r="L419" s="232"/>
      <c r="M419" s="495"/>
      <c r="N419" s="536"/>
      <c r="O419" s="234">
        <v>244</v>
      </c>
      <c r="P419" s="233">
        <v>225</v>
      </c>
      <c r="Q419" s="381"/>
      <c r="R419" s="229">
        <f>SUM(S419,T419,U419,V419)</f>
        <v>0</v>
      </c>
      <c r="S419" s="229"/>
      <c r="T419" s="229"/>
      <c r="U419" s="229"/>
      <c r="V419" s="229"/>
      <c r="AC419" s="414"/>
      <c r="AD419" s="471"/>
    </row>
    <row r="420" spans="1:30" s="45" customFormat="1" ht="16.2" outlineLevel="1" x14ac:dyDescent="0.35">
      <c r="A420" s="231" t="s">
        <v>636</v>
      </c>
      <c r="B420" s="232"/>
      <c r="C420" s="232"/>
      <c r="D420" s="232"/>
      <c r="E420" s="329"/>
      <c r="F420" s="259"/>
      <c r="G420" s="232"/>
      <c r="H420" s="260"/>
      <c r="I420" s="258"/>
      <c r="J420" s="232"/>
      <c r="K420" s="251"/>
      <c r="L420" s="232"/>
      <c r="M420" s="495"/>
      <c r="N420" s="536"/>
      <c r="O420" s="234">
        <v>244</v>
      </c>
      <c r="P420" s="233">
        <v>225</v>
      </c>
      <c r="Q420" s="381"/>
      <c r="R420" s="229">
        <f t="shared" si="5"/>
        <v>0</v>
      </c>
      <c r="S420" s="229"/>
      <c r="T420" s="229"/>
      <c r="U420" s="229"/>
      <c r="V420" s="229"/>
      <c r="AC420" s="414"/>
      <c r="AD420" s="471"/>
    </row>
    <row r="421" spans="1:30" s="45" customFormat="1" ht="16.2" outlineLevel="1" x14ac:dyDescent="0.35">
      <c r="A421" s="231" t="s">
        <v>814</v>
      </c>
      <c r="B421" s="232"/>
      <c r="C421" s="232"/>
      <c r="D421" s="232"/>
      <c r="E421" s="329"/>
      <c r="F421" s="259"/>
      <c r="G421" s="232"/>
      <c r="H421" s="260"/>
      <c r="I421" s="258"/>
      <c r="J421" s="232"/>
      <c r="K421" s="251"/>
      <c r="L421" s="232"/>
      <c r="M421" s="495"/>
      <c r="N421" s="536"/>
      <c r="O421" s="234">
        <v>244</v>
      </c>
      <c r="P421" s="233">
        <v>225</v>
      </c>
      <c r="Q421" s="381"/>
      <c r="R421" s="229">
        <f t="shared" si="5"/>
        <v>0</v>
      </c>
      <c r="S421" s="229"/>
      <c r="T421" s="229"/>
      <c r="U421" s="229"/>
      <c r="V421" s="229"/>
      <c r="AC421" s="414"/>
      <c r="AD421" s="471"/>
    </row>
    <row r="422" spans="1:30" s="45" customFormat="1" ht="15.6" x14ac:dyDescent="0.3">
      <c r="A422" s="274" t="s">
        <v>768</v>
      </c>
      <c r="B422" s="182"/>
      <c r="C422" s="281"/>
      <c r="D422" s="182"/>
      <c r="E422" s="182"/>
      <c r="F422" s="182"/>
      <c r="G422" s="275"/>
      <c r="H422" s="182"/>
      <c r="I422" s="182"/>
      <c r="J422" s="183"/>
      <c r="K422" s="182"/>
      <c r="L422" s="182"/>
      <c r="M422" s="490"/>
      <c r="N422" s="532"/>
      <c r="O422" s="206">
        <v>244</v>
      </c>
      <c r="P422" s="205">
        <v>225</v>
      </c>
      <c r="Q422" s="383"/>
      <c r="R422" s="207">
        <f t="shared" si="5"/>
        <v>0</v>
      </c>
      <c r="S422" s="207"/>
      <c r="T422" s="207"/>
      <c r="U422" s="207"/>
      <c r="V422" s="207"/>
      <c r="AC422" s="414"/>
      <c r="AD422" s="471"/>
    </row>
    <row r="423" spans="1:30" s="45" customFormat="1" ht="15.6" x14ac:dyDescent="0.3">
      <c r="A423" s="240" t="s">
        <v>637</v>
      </c>
      <c r="B423" s="241"/>
      <c r="C423" s="241"/>
      <c r="D423" s="241"/>
      <c r="E423" s="241"/>
      <c r="F423" s="241"/>
      <c r="G423" s="241"/>
      <c r="H423" s="241"/>
      <c r="I423" s="301"/>
      <c r="J423" s="241"/>
      <c r="K423" s="251"/>
      <c r="L423" s="241"/>
      <c r="M423" s="499"/>
      <c r="N423" s="518"/>
      <c r="O423" s="296">
        <v>244</v>
      </c>
      <c r="P423" s="297">
        <v>226</v>
      </c>
      <c r="Q423" s="384"/>
      <c r="R423" s="215">
        <f>SUM(R424,R428,R429,R431,R433,R435,R439,R444,R448,R461,R468,R478,R488,R489,R492,R470,R472,R475)</f>
        <v>0</v>
      </c>
      <c r="S423" s="215"/>
      <c r="T423" s="215"/>
      <c r="U423" s="215"/>
      <c r="V423" s="215"/>
      <c r="AC423" s="414"/>
      <c r="AD423" s="471"/>
    </row>
    <row r="424" spans="1:30" s="45" customFormat="1" ht="16.2" x14ac:dyDescent="0.35">
      <c r="A424" s="231" t="s">
        <v>639</v>
      </c>
      <c r="B424" s="232"/>
      <c r="C424" s="232"/>
      <c r="D424" s="232"/>
      <c r="E424" s="232"/>
      <c r="F424" s="259"/>
      <c r="G424" s="232"/>
      <c r="H424" s="260"/>
      <c r="I424" s="258"/>
      <c r="J424" s="232"/>
      <c r="K424" s="282"/>
      <c r="L424" s="232"/>
      <c r="M424" s="495"/>
      <c r="N424" s="536"/>
      <c r="O424" s="234">
        <v>244</v>
      </c>
      <c r="P424" s="233">
        <v>226</v>
      </c>
      <c r="Q424" s="381"/>
      <c r="R424" s="229">
        <f>SUM(R425:R427)</f>
        <v>0</v>
      </c>
      <c r="S424" s="229">
        <f>SUM(S425:S427)</f>
        <v>0</v>
      </c>
      <c r="T424" s="229">
        <f>SUM(T425:T427)</f>
        <v>0</v>
      </c>
      <c r="U424" s="229">
        <f>SUM(U425:U427)</f>
        <v>0</v>
      </c>
      <c r="V424" s="229">
        <f>SUM(V425:V427)</f>
        <v>0</v>
      </c>
      <c r="W424" s="49" t="s">
        <v>638</v>
      </c>
      <c r="AC424" s="414"/>
      <c r="AD424" s="471"/>
    </row>
    <row r="425" spans="1:30" s="283" customFormat="1" ht="16.2" outlineLevel="1" x14ac:dyDescent="0.35">
      <c r="A425" s="231"/>
      <c r="B425" s="232"/>
      <c r="C425" s="232"/>
      <c r="D425" s="232"/>
      <c r="E425" s="317"/>
      <c r="F425" s="303"/>
      <c r="G425" s="317"/>
      <c r="H425" s="208" t="s">
        <v>520</v>
      </c>
      <c r="I425" s="316"/>
      <c r="J425" s="232"/>
      <c r="K425" s="282"/>
      <c r="L425" s="232"/>
      <c r="M425" s="495"/>
      <c r="N425" s="536"/>
      <c r="O425" s="234"/>
      <c r="P425" s="233"/>
      <c r="Q425" s="381">
        <v>12</v>
      </c>
      <c r="R425" s="222">
        <f>SUM(S425,T425,U425,V425)</f>
        <v>0</v>
      </c>
      <c r="S425" s="222"/>
      <c r="T425" s="222"/>
      <c r="U425" s="222"/>
      <c r="V425" s="222"/>
      <c r="W425" s="49" t="s">
        <v>640</v>
      </c>
      <c r="AC425" s="414"/>
      <c r="AD425" s="471"/>
    </row>
    <row r="426" spans="1:30" s="283" customFormat="1" ht="16.2" outlineLevel="1" x14ac:dyDescent="0.35">
      <c r="A426" s="231"/>
      <c r="B426" s="232"/>
      <c r="C426" s="232"/>
      <c r="D426" s="232"/>
      <c r="E426" s="317"/>
      <c r="F426" s="303"/>
      <c r="G426" s="317"/>
      <c r="H426" s="208" t="s">
        <v>520</v>
      </c>
      <c r="I426" s="316"/>
      <c r="J426" s="232"/>
      <c r="K426" s="282"/>
      <c r="L426" s="232"/>
      <c r="M426" s="495"/>
      <c r="N426" s="536"/>
      <c r="O426" s="234"/>
      <c r="P426" s="233"/>
      <c r="Q426" s="381"/>
      <c r="R426" s="222">
        <f>SUM(S426,T426,U426,V426)</f>
        <v>0</v>
      </c>
      <c r="S426" s="222"/>
      <c r="T426" s="222"/>
      <c r="U426" s="222"/>
      <c r="V426" s="222"/>
      <c r="W426" s="49" t="s">
        <v>641</v>
      </c>
      <c r="AC426" s="414"/>
      <c r="AD426" s="471"/>
    </row>
    <row r="427" spans="1:30" s="283" customFormat="1" ht="16.2" outlineLevel="1" x14ac:dyDescent="0.35">
      <c r="A427" s="231"/>
      <c r="B427" s="232"/>
      <c r="C427" s="232"/>
      <c r="D427" s="232"/>
      <c r="E427" s="317"/>
      <c r="F427" s="303"/>
      <c r="G427" s="317"/>
      <c r="H427" s="208" t="s">
        <v>520</v>
      </c>
      <c r="I427" s="316"/>
      <c r="J427" s="232"/>
      <c r="K427" s="282"/>
      <c r="L427" s="232"/>
      <c r="M427" s="495"/>
      <c r="N427" s="536"/>
      <c r="O427" s="234"/>
      <c r="P427" s="233"/>
      <c r="Q427" s="381"/>
      <c r="R427" s="222">
        <f>SUM(S427,T427,U427,V427)</f>
        <v>0</v>
      </c>
      <c r="S427" s="222"/>
      <c r="T427" s="222"/>
      <c r="U427" s="222"/>
      <c r="V427" s="222"/>
      <c r="W427" s="49" t="s">
        <v>642</v>
      </c>
      <c r="AC427" s="414"/>
      <c r="AD427" s="471"/>
    </row>
    <row r="428" spans="1:30" s="283" customFormat="1" ht="16.2" x14ac:dyDescent="0.35">
      <c r="A428" s="231" t="s">
        <v>644</v>
      </c>
      <c r="B428" s="232"/>
      <c r="C428" s="232"/>
      <c r="D428" s="218"/>
      <c r="E428" s="217" t="s">
        <v>531</v>
      </c>
      <c r="F428" s="259"/>
      <c r="G428" s="317"/>
      <c r="H428" s="208" t="s">
        <v>520</v>
      </c>
      <c r="I428" s="317"/>
      <c r="J428" s="208" t="s">
        <v>520</v>
      </c>
      <c r="K428" s="282"/>
      <c r="L428" s="232"/>
      <c r="M428" s="495"/>
      <c r="N428" s="536"/>
      <c r="O428" s="234">
        <v>244</v>
      </c>
      <c r="P428" s="233">
        <v>226</v>
      </c>
      <c r="Q428" s="381"/>
      <c r="R428" s="229">
        <f>SUM(S428,T428,U428,V428)</f>
        <v>0</v>
      </c>
      <c r="S428" s="229"/>
      <c r="T428" s="229"/>
      <c r="U428" s="229"/>
      <c r="V428" s="229"/>
      <c r="W428" s="49" t="s">
        <v>643</v>
      </c>
      <c r="AC428" s="414"/>
      <c r="AD428" s="471"/>
    </row>
    <row r="429" spans="1:30" s="283" customFormat="1" ht="16.2" x14ac:dyDescent="0.35">
      <c r="A429" s="231" t="s">
        <v>704</v>
      </c>
      <c r="B429" s="232"/>
      <c r="C429" s="232"/>
      <c r="D429" s="232"/>
      <c r="E429" s="232"/>
      <c r="F429" s="259"/>
      <c r="G429" s="232"/>
      <c r="H429" s="260"/>
      <c r="I429" s="258"/>
      <c r="J429" s="232"/>
      <c r="K429" s="282"/>
      <c r="L429" s="232"/>
      <c r="M429" s="495"/>
      <c r="N429" s="536" t="s">
        <v>249</v>
      </c>
      <c r="O429" s="234">
        <v>244</v>
      </c>
      <c r="P429" s="233">
        <v>226</v>
      </c>
      <c r="Q429" s="381"/>
      <c r="R429" s="229">
        <f>SUM(R430)</f>
        <v>0</v>
      </c>
      <c r="S429" s="229">
        <f>SUM(S430)</f>
        <v>0</v>
      </c>
      <c r="T429" s="229">
        <f>SUM(T430)</f>
        <v>0</v>
      </c>
      <c r="U429" s="229">
        <f>SUM(U430)</f>
        <v>0</v>
      </c>
      <c r="V429" s="229">
        <f>SUM(V430)</f>
        <v>0</v>
      </c>
      <c r="AC429" s="414"/>
      <c r="AD429" s="471"/>
    </row>
    <row r="430" spans="1:30" s="283" customFormat="1" ht="15.6" outlineLevel="1" x14ac:dyDescent="0.3">
      <c r="A430" s="330"/>
      <c r="B430" s="217"/>
      <c r="C430" s="217"/>
      <c r="D430" s="218"/>
      <c r="E430" s="217" t="s">
        <v>531</v>
      </c>
      <c r="F430" s="217" t="s">
        <v>519</v>
      </c>
      <c r="G430" s="218">
        <v>5000</v>
      </c>
      <c r="H430" s="208" t="s">
        <v>520</v>
      </c>
      <c r="I430" s="219"/>
      <c r="J430" s="217"/>
      <c r="K430" s="250"/>
      <c r="L430" s="217"/>
      <c r="M430" s="494"/>
      <c r="N430" s="535"/>
      <c r="O430" s="221"/>
      <c r="P430" s="220"/>
      <c r="Q430" s="381">
        <v>1</v>
      </c>
      <c r="R430" s="222">
        <f>SUM(S430,T430,U430,V430)</f>
        <v>0</v>
      </c>
      <c r="S430" s="222"/>
      <c r="T430" s="222"/>
      <c r="U430" s="222"/>
      <c r="V430" s="222"/>
      <c r="AC430" s="414"/>
      <c r="AD430" s="471"/>
    </row>
    <row r="431" spans="1:30" ht="16.2" x14ac:dyDescent="0.35">
      <c r="A431" s="231" t="s">
        <v>645</v>
      </c>
      <c r="B431" s="232"/>
      <c r="C431" s="232"/>
      <c r="D431" s="303"/>
      <c r="E431" s="232"/>
      <c r="F431" s="259"/>
      <c r="G431" s="232"/>
      <c r="H431" s="260"/>
      <c r="I431" s="258"/>
      <c r="J431" s="232"/>
      <c r="K431" s="251"/>
      <c r="L431" s="232"/>
      <c r="M431" s="495"/>
      <c r="N431" s="536"/>
      <c r="O431" s="234">
        <v>244</v>
      </c>
      <c r="P431" s="233">
        <v>226</v>
      </c>
      <c r="Q431" s="381"/>
      <c r="R431" s="229">
        <f>SUM(R432)</f>
        <v>0</v>
      </c>
      <c r="S431" s="229">
        <f>SUM(S432)</f>
        <v>0</v>
      </c>
      <c r="T431" s="229">
        <f>SUM(T432)</f>
        <v>0</v>
      </c>
      <c r="U431" s="229">
        <f>SUM(U432)</f>
        <v>0</v>
      </c>
      <c r="V431" s="229">
        <f>SUM(V432)</f>
        <v>0</v>
      </c>
    </row>
    <row r="432" spans="1:30" s="45" customFormat="1" ht="15.6" outlineLevel="1" x14ac:dyDescent="0.3">
      <c r="A432" s="216"/>
      <c r="B432" s="217"/>
      <c r="C432" s="218"/>
      <c r="D432" s="218"/>
      <c r="E432" s="217" t="s">
        <v>605</v>
      </c>
      <c r="F432" s="217" t="s">
        <v>519</v>
      </c>
      <c r="G432" s="218">
        <v>1000</v>
      </c>
      <c r="H432" s="208" t="s">
        <v>520</v>
      </c>
      <c r="I432" s="219"/>
      <c r="J432" s="217"/>
      <c r="K432" s="250"/>
      <c r="L432" s="217"/>
      <c r="M432" s="494"/>
      <c r="N432" s="535"/>
      <c r="O432" s="221"/>
      <c r="P432" s="220"/>
      <c r="Q432" s="381"/>
      <c r="R432" s="222">
        <f>SUM(S432,T432,U432,V432)</f>
        <v>0</v>
      </c>
      <c r="S432" s="222"/>
      <c r="T432" s="222"/>
      <c r="U432" s="222"/>
      <c r="V432" s="222"/>
      <c r="AC432" s="414"/>
      <c r="AD432" s="471"/>
    </row>
    <row r="433" spans="1:32" ht="16.2" x14ac:dyDescent="0.35">
      <c r="A433" s="231" t="s">
        <v>725</v>
      </c>
      <c r="B433" s="232"/>
      <c r="C433" s="232"/>
      <c r="D433" s="303"/>
      <c r="E433" s="232"/>
      <c r="F433" s="259"/>
      <c r="G433" s="232"/>
      <c r="H433" s="260"/>
      <c r="I433" s="258"/>
      <c r="J433" s="232"/>
      <c r="K433" s="251"/>
      <c r="L433" s="232"/>
      <c r="M433" s="495"/>
      <c r="N433" s="536"/>
      <c r="O433" s="234">
        <v>244</v>
      </c>
      <c r="P433" s="233">
        <v>226</v>
      </c>
      <c r="Q433" s="381"/>
      <c r="R433" s="229">
        <f>SUM(R434)</f>
        <v>0</v>
      </c>
      <c r="S433" s="229">
        <f>SUM(S434)</f>
        <v>0</v>
      </c>
      <c r="T433" s="229">
        <f>SUM(T434)</f>
        <v>0</v>
      </c>
      <c r="U433" s="229">
        <f>SUM(U434)</f>
        <v>0</v>
      </c>
      <c r="V433" s="229">
        <f>SUM(V434)</f>
        <v>0</v>
      </c>
    </row>
    <row r="434" spans="1:32" s="45" customFormat="1" ht="15.6" outlineLevel="1" x14ac:dyDescent="0.3">
      <c r="A434" s="216"/>
      <c r="B434" s="217"/>
      <c r="C434" s="217"/>
      <c r="D434" s="218"/>
      <c r="E434" s="217" t="s">
        <v>726</v>
      </c>
      <c r="F434" s="217" t="s">
        <v>519</v>
      </c>
      <c r="G434" s="218">
        <f>6750/3</f>
        <v>2250</v>
      </c>
      <c r="H434" s="208" t="s">
        <v>520</v>
      </c>
      <c r="I434" s="331"/>
      <c r="J434" s="208"/>
      <c r="K434" s="250"/>
      <c r="L434" s="217"/>
      <c r="M434" s="494"/>
      <c r="N434" s="535"/>
      <c r="O434" s="221"/>
      <c r="P434" s="220"/>
      <c r="Q434" s="381"/>
      <c r="R434" s="222">
        <f>SUM(S434,T434,U434,V434)</f>
        <v>0</v>
      </c>
      <c r="S434" s="222"/>
      <c r="T434" s="222"/>
      <c r="U434" s="222"/>
      <c r="V434" s="222"/>
      <c r="AC434" s="414"/>
      <c r="AD434" s="471"/>
    </row>
    <row r="435" spans="1:32" ht="16.2" x14ac:dyDescent="0.35">
      <c r="A435" s="231" t="s">
        <v>646</v>
      </c>
      <c r="B435" s="232"/>
      <c r="C435" s="232"/>
      <c r="D435" s="303"/>
      <c r="E435" s="324"/>
      <c r="F435" s="259"/>
      <c r="G435" s="232"/>
      <c r="H435" s="260"/>
      <c r="I435" s="258"/>
      <c r="J435" s="232"/>
      <c r="K435" s="251"/>
      <c r="L435" s="232"/>
      <c r="M435" s="495" t="s">
        <v>334</v>
      </c>
      <c r="N435" s="536" t="s">
        <v>249</v>
      </c>
      <c r="O435" s="234">
        <v>244</v>
      </c>
      <c r="P435" s="233">
        <v>226</v>
      </c>
      <c r="Q435" s="381"/>
      <c r="R435" s="229">
        <f>SUM(R436:R438)</f>
        <v>0</v>
      </c>
      <c r="S435" s="229">
        <f>SUM(S436:S438)</f>
        <v>0</v>
      </c>
      <c r="T435" s="229">
        <f>SUM(T436:T438)</f>
        <v>0</v>
      </c>
      <c r="U435" s="229">
        <f>SUM(U436:U438)</f>
        <v>0</v>
      </c>
      <c r="V435" s="229">
        <f>SUM(V436:V438)</f>
        <v>0</v>
      </c>
    </row>
    <row r="436" spans="1:32" s="45" customFormat="1" ht="16.2" outlineLevel="1" x14ac:dyDescent="0.35">
      <c r="A436" s="264" t="s">
        <v>560</v>
      </c>
      <c r="B436" s="208">
        <f>$W$2</f>
        <v>2023</v>
      </c>
      <c r="C436" s="217"/>
      <c r="D436" s="218"/>
      <c r="E436" s="327" t="s">
        <v>623</v>
      </c>
      <c r="F436" s="217" t="s">
        <v>519</v>
      </c>
      <c r="G436" s="218">
        <v>1971.42</v>
      </c>
      <c r="H436" s="208" t="s">
        <v>520</v>
      </c>
      <c r="I436" s="218">
        <v>423</v>
      </c>
      <c r="J436" s="208" t="s">
        <v>520</v>
      </c>
      <c r="K436" s="250"/>
      <c r="L436" s="217"/>
      <c r="M436" s="494"/>
      <c r="N436" s="535"/>
      <c r="O436" s="234">
        <v>244</v>
      </c>
      <c r="P436" s="233">
        <v>226</v>
      </c>
      <c r="Q436" s="381">
        <v>1</v>
      </c>
      <c r="R436" s="222">
        <f t="shared" ref="R436:R443" si="6">SUM(S436,T436,U436,V436)</f>
        <v>0</v>
      </c>
      <c r="S436" s="222"/>
      <c r="T436" s="222"/>
      <c r="U436" s="222"/>
      <c r="V436" s="222"/>
      <c r="AC436" s="414"/>
      <c r="AD436" s="471"/>
    </row>
    <row r="437" spans="1:32" ht="16.2" outlineLevel="1" x14ac:dyDescent="0.35">
      <c r="A437" s="264" t="s">
        <v>629</v>
      </c>
      <c r="B437" s="208">
        <f>$W$1</f>
        <v>2024</v>
      </c>
      <c r="C437" s="217"/>
      <c r="D437" s="218"/>
      <c r="E437" s="327" t="s">
        <v>623</v>
      </c>
      <c r="F437" s="217" t="s">
        <v>519</v>
      </c>
      <c r="G437" s="218">
        <v>1977.16</v>
      </c>
      <c r="H437" s="208" t="s">
        <v>520</v>
      </c>
      <c r="I437" s="218">
        <v>437.04</v>
      </c>
      <c r="J437" s="208" t="s">
        <v>520</v>
      </c>
      <c r="K437" s="250"/>
      <c r="L437" s="217"/>
      <c r="M437" s="494"/>
      <c r="N437" s="535"/>
      <c r="O437" s="234">
        <v>244</v>
      </c>
      <c r="P437" s="233">
        <v>226</v>
      </c>
      <c r="Q437" s="381">
        <v>8</v>
      </c>
      <c r="R437" s="222">
        <f>SUM(S437,T437,U437,V437)</f>
        <v>0</v>
      </c>
      <c r="S437" s="222"/>
      <c r="T437" s="222"/>
      <c r="U437" s="222"/>
      <c r="V437" s="222"/>
    </row>
    <row r="438" spans="1:32" ht="16.2" outlineLevel="1" x14ac:dyDescent="0.35">
      <c r="A438" s="264" t="s">
        <v>629</v>
      </c>
      <c r="B438" s="208">
        <f>$W$1</f>
        <v>2024</v>
      </c>
      <c r="C438" s="217"/>
      <c r="D438" s="218"/>
      <c r="E438" s="327" t="s">
        <v>623</v>
      </c>
      <c r="F438" s="217" t="s">
        <v>519</v>
      </c>
      <c r="G438" s="218">
        <v>1600</v>
      </c>
      <c r="H438" s="208" t="s">
        <v>520</v>
      </c>
      <c r="I438" s="218">
        <v>423</v>
      </c>
      <c r="J438" s="208" t="s">
        <v>520</v>
      </c>
      <c r="K438" s="250"/>
      <c r="L438" s="217"/>
      <c r="M438" s="494"/>
      <c r="N438" s="535"/>
      <c r="O438" s="234">
        <v>244</v>
      </c>
      <c r="P438" s="233">
        <v>226</v>
      </c>
      <c r="Q438" s="381"/>
      <c r="R438" s="222">
        <f t="shared" si="6"/>
        <v>0</v>
      </c>
      <c r="S438" s="222"/>
      <c r="T438" s="222"/>
      <c r="U438" s="222"/>
      <c r="V438" s="222"/>
    </row>
    <row r="439" spans="1:32" ht="16.2" x14ac:dyDescent="0.35">
      <c r="A439" s="231" t="s">
        <v>731</v>
      </c>
      <c r="B439" s="232"/>
      <c r="C439" s="232"/>
      <c r="D439" s="259"/>
      <c r="E439" s="217"/>
      <c r="F439" s="280"/>
      <c r="G439" s="259"/>
      <c r="H439" s="208"/>
      <c r="I439" s="258"/>
      <c r="J439" s="232"/>
      <c r="K439" s="251"/>
      <c r="L439" s="232"/>
      <c r="M439" s="495"/>
      <c r="N439" s="536"/>
      <c r="O439" s="234">
        <v>244</v>
      </c>
      <c r="P439" s="233">
        <v>226</v>
      </c>
      <c r="Q439" s="381"/>
      <c r="R439" s="229">
        <f t="shared" si="6"/>
        <v>0</v>
      </c>
      <c r="S439" s="229">
        <f>SUM(S440:S443)</f>
        <v>0</v>
      </c>
      <c r="T439" s="229">
        <f>SUM(T440:T443)</f>
        <v>0</v>
      </c>
      <c r="U439" s="229">
        <f>SUM(U440:U443)</f>
        <v>0</v>
      </c>
      <c r="V439" s="229">
        <f>SUM(V440:V443)</f>
        <v>0</v>
      </c>
      <c r="AB439" s="56"/>
    </row>
    <row r="440" spans="1:32" ht="16.2" outlineLevel="1" x14ac:dyDescent="0.35">
      <c r="A440" s="231"/>
      <c r="B440" s="232"/>
      <c r="C440" s="232"/>
      <c r="D440" s="218"/>
      <c r="E440" s="217" t="s">
        <v>574</v>
      </c>
      <c r="F440" s="280" t="s">
        <v>519</v>
      </c>
      <c r="G440" s="218">
        <v>191</v>
      </c>
      <c r="H440" s="208" t="s">
        <v>520</v>
      </c>
      <c r="I440" s="258"/>
      <c r="J440" s="232"/>
      <c r="K440" s="251"/>
      <c r="L440" s="232"/>
      <c r="M440" s="495"/>
      <c r="N440" s="536"/>
      <c r="O440" s="234"/>
      <c r="P440" s="233"/>
      <c r="Q440" s="381"/>
      <c r="R440" s="222">
        <f t="shared" si="6"/>
        <v>0</v>
      </c>
      <c r="S440" s="222"/>
      <c r="T440" s="222"/>
      <c r="U440" s="222"/>
      <c r="V440" s="222"/>
    </row>
    <row r="441" spans="1:32" ht="16.2" outlineLevel="1" x14ac:dyDescent="0.35">
      <c r="A441" s="231"/>
      <c r="B441" s="232"/>
      <c r="C441" s="232"/>
      <c r="D441" s="218"/>
      <c r="E441" s="217" t="s">
        <v>574</v>
      </c>
      <c r="F441" s="280" t="s">
        <v>519</v>
      </c>
      <c r="G441" s="218">
        <v>200</v>
      </c>
      <c r="H441" s="208" t="s">
        <v>520</v>
      </c>
      <c r="I441" s="258"/>
      <c r="J441" s="232"/>
      <c r="K441" s="251"/>
      <c r="L441" s="232"/>
      <c r="M441" s="495"/>
      <c r="N441" s="536"/>
      <c r="O441" s="234"/>
      <c r="P441" s="233"/>
      <c r="Q441" s="381"/>
      <c r="R441" s="222">
        <f t="shared" si="6"/>
        <v>0</v>
      </c>
      <c r="S441" s="222"/>
      <c r="T441" s="222"/>
      <c r="U441" s="222"/>
      <c r="V441" s="222"/>
    </row>
    <row r="442" spans="1:32" ht="16.2" outlineLevel="1" x14ac:dyDescent="0.35">
      <c r="A442" s="231"/>
      <c r="B442" s="232"/>
      <c r="C442" s="232"/>
      <c r="D442" s="218"/>
      <c r="E442" s="217" t="s">
        <v>574</v>
      </c>
      <c r="F442" s="280" t="s">
        <v>519</v>
      </c>
      <c r="G442" s="218">
        <v>200</v>
      </c>
      <c r="H442" s="208" t="s">
        <v>520</v>
      </c>
      <c r="I442" s="258"/>
      <c r="J442" s="232"/>
      <c r="K442" s="251"/>
      <c r="L442" s="232"/>
      <c r="M442" s="495"/>
      <c r="N442" s="536"/>
      <c r="O442" s="234"/>
      <c r="P442" s="233"/>
      <c r="Q442" s="381"/>
      <c r="R442" s="222">
        <f t="shared" si="6"/>
        <v>0</v>
      </c>
      <c r="S442" s="222"/>
      <c r="T442" s="222"/>
      <c r="U442" s="222"/>
      <c r="V442" s="222"/>
    </row>
    <row r="443" spans="1:32" ht="16.2" outlineLevel="1" x14ac:dyDescent="0.35">
      <c r="A443" s="231"/>
      <c r="B443" s="232"/>
      <c r="C443" s="232"/>
      <c r="D443" s="218"/>
      <c r="E443" s="217" t="s">
        <v>574</v>
      </c>
      <c r="F443" s="280" t="s">
        <v>519</v>
      </c>
      <c r="G443" s="218">
        <v>200</v>
      </c>
      <c r="H443" s="208" t="s">
        <v>520</v>
      </c>
      <c r="I443" s="258"/>
      <c r="J443" s="232"/>
      <c r="K443" s="251"/>
      <c r="L443" s="232"/>
      <c r="M443" s="495"/>
      <c r="N443" s="536"/>
      <c r="O443" s="234"/>
      <c r="P443" s="233"/>
      <c r="Q443" s="381"/>
      <c r="R443" s="222">
        <f t="shared" si="6"/>
        <v>0</v>
      </c>
      <c r="S443" s="222"/>
      <c r="T443" s="222"/>
      <c r="U443" s="222"/>
      <c r="V443" s="222"/>
    </row>
    <row r="444" spans="1:32" ht="16.2" x14ac:dyDescent="0.35">
      <c r="A444" s="231" t="s">
        <v>705</v>
      </c>
      <c r="B444" s="232"/>
      <c r="C444" s="326"/>
      <c r="D444" s="303"/>
      <c r="E444" s="322"/>
      <c r="F444" s="259"/>
      <c r="G444" s="232"/>
      <c r="H444" s="260"/>
      <c r="I444" s="258"/>
      <c r="J444" s="232"/>
      <c r="K444" s="282"/>
      <c r="L444" s="322"/>
      <c r="M444" s="495" t="s">
        <v>759</v>
      </c>
      <c r="N444" s="536" t="s">
        <v>870</v>
      </c>
      <c r="O444" s="332">
        <v>244</v>
      </c>
      <c r="P444" s="333">
        <v>226</v>
      </c>
      <c r="Q444" s="392"/>
      <c r="R444" s="229">
        <f>SUM(R445:R447)</f>
        <v>0</v>
      </c>
      <c r="S444" s="229">
        <f>SUM(S445:S447)</f>
        <v>0</v>
      </c>
      <c r="T444" s="229">
        <f>SUM(T445:T447)</f>
        <v>0</v>
      </c>
      <c r="U444" s="229">
        <f>SUM(U445:U447)</f>
        <v>0</v>
      </c>
      <c r="V444" s="229">
        <f>SUM(V445:V447)</f>
        <v>0</v>
      </c>
      <c r="AD444" s="477"/>
    </row>
    <row r="445" spans="1:32" s="283" customFormat="1" ht="15.6" outlineLevel="1" x14ac:dyDescent="0.3">
      <c r="A445" s="264" t="s">
        <v>560</v>
      </c>
      <c r="B445" s="208">
        <f>$W$2</f>
        <v>2023</v>
      </c>
      <c r="C445" s="353"/>
      <c r="D445" s="292"/>
      <c r="E445" s="217" t="s">
        <v>578</v>
      </c>
      <c r="F445" s="217" t="s">
        <v>519</v>
      </c>
      <c r="G445" s="218">
        <v>15.67</v>
      </c>
      <c r="H445" s="218">
        <v>14.58</v>
      </c>
      <c r="I445" s="208" t="s">
        <v>520</v>
      </c>
      <c r="J445" s="610">
        <v>35.840000000000003</v>
      </c>
      <c r="K445" s="218">
        <v>1302.1600000000001</v>
      </c>
      <c r="L445" s="208" t="s">
        <v>578</v>
      </c>
      <c r="M445" s="492"/>
      <c r="N445" s="527"/>
      <c r="O445" s="268"/>
      <c r="P445" s="269"/>
      <c r="Q445" s="382">
        <v>1</v>
      </c>
      <c r="R445" s="222">
        <f>SUM(S445,T445,U445,V445)</f>
        <v>0</v>
      </c>
      <c r="S445" s="222"/>
      <c r="T445" s="222"/>
      <c r="U445" s="222"/>
      <c r="V445" s="222"/>
      <c r="AC445" s="414"/>
      <c r="AD445" s="471"/>
    </row>
    <row r="446" spans="1:32" ht="15.6" outlineLevel="1" x14ac:dyDescent="0.3">
      <c r="A446" s="264" t="s">
        <v>868</v>
      </c>
      <c r="B446" s="208">
        <f>$W$1</f>
        <v>2024</v>
      </c>
      <c r="C446" s="604"/>
      <c r="D446" s="292"/>
      <c r="E446" s="217" t="s">
        <v>578</v>
      </c>
      <c r="F446" s="217" t="s">
        <v>519</v>
      </c>
      <c r="G446" s="218">
        <v>15.67</v>
      </c>
      <c r="H446" s="218">
        <v>14.58</v>
      </c>
      <c r="I446" s="208" t="s">
        <v>520</v>
      </c>
      <c r="J446" s="611">
        <f>298.15/9</f>
        <v>33.127777777777801</v>
      </c>
      <c r="K446" s="218">
        <f>11194.85/9</f>
        <v>1243.8699999999999</v>
      </c>
      <c r="L446" s="208" t="s">
        <v>578</v>
      </c>
      <c r="M446" s="492"/>
      <c r="N446" s="527"/>
      <c r="O446" s="268"/>
      <c r="P446" s="269"/>
      <c r="Q446" s="382">
        <v>9</v>
      </c>
      <c r="R446" s="222">
        <f>SUM(S446,T446,U446,V446)</f>
        <v>0</v>
      </c>
      <c r="S446" s="222"/>
      <c r="T446" s="222"/>
      <c r="U446" s="222"/>
      <c r="V446" s="222"/>
    </row>
    <row r="447" spans="1:32" ht="15.6" outlineLevel="1" x14ac:dyDescent="0.3">
      <c r="A447" s="264" t="s">
        <v>824</v>
      </c>
      <c r="B447" s="208">
        <f>$W$1</f>
        <v>2024</v>
      </c>
      <c r="C447" s="604"/>
      <c r="D447" s="292"/>
      <c r="E447" s="217" t="s">
        <v>578</v>
      </c>
      <c r="F447" s="217" t="s">
        <v>519</v>
      </c>
      <c r="G447" s="218">
        <v>20</v>
      </c>
      <c r="H447" s="218">
        <v>20</v>
      </c>
      <c r="I447" s="208" t="s">
        <v>520</v>
      </c>
      <c r="J447" s="611">
        <f>70.06/2</f>
        <v>35.03</v>
      </c>
      <c r="K447" s="218">
        <f>2559.94/2</f>
        <v>1279.97</v>
      </c>
      <c r="L447" s="208" t="s">
        <v>578</v>
      </c>
      <c r="M447" s="492"/>
      <c r="N447" s="527"/>
      <c r="O447" s="268"/>
      <c r="P447" s="269"/>
      <c r="Q447" s="382">
        <v>2</v>
      </c>
      <c r="R447" s="222">
        <f>SUM(S447,T447,U447,V447)</f>
        <v>0</v>
      </c>
      <c r="S447" s="222"/>
      <c r="T447" s="222"/>
      <c r="U447" s="222"/>
      <c r="V447" s="222"/>
    </row>
    <row r="448" spans="1:32" ht="16.2" x14ac:dyDescent="0.35">
      <c r="A448" s="335" t="s">
        <v>647</v>
      </c>
      <c r="B448" s="232"/>
      <c r="C448" s="232"/>
      <c r="D448" s="303"/>
      <c r="E448" s="232"/>
      <c r="F448" s="259"/>
      <c r="G448" s="232"/>
      <c r="H448" s="260"/>
      <c r="I448" s="258"/>
      <c r="J448" s="232"/>
      <c r="K448" s="282"/>
      <c r="L448" s="232"/>
      <c r="M448" s="495" t="s">
        <v>759</v>
      </c>
      <c r="N448" s="536" t="s">
        <v>276</v>
      </c>
      <c r="O448" s="234">
        <v>244</v>
      </c>
      <c r="P448" s="233">
        <v>226</v>
      </c>
      <c r="Q448" s="381"/>
      <c r="R448" s="229">
        <f>R449+R455</f>
        <v>0</v>
      </c>
      <c r="S448" s="229">
        <f>S449+S455</f>
        <v>0</v>
      </c>
      <c r="T448" s="229">
        <f>T449+T455</f>
        <v>0</v>
      </c>
      <c r="U448" s="229">
        <f>U449+U455</f>
        <v>0</v>
      </c>
      <c r="V448" s="229">
        <f>V449+V455</f>
        <v>0</v>
      </c>
      <c r="AD448" s="477"/>
      <c r="AE448" s="409"/>
      <c r="AF448" s="109"/>
    </row>
    <row r="449" spans="1:32" ht="16.2" outlineLevel="1" x14ac:dyDescent="0.35">
      <c r="A449" s="290" t="s">
        <v>539</v>
      </c>
      <c r="B449" s="291"/>
      <c r="C449" s="237"/>
      <c r="D449" s="238" t="s">
        <v>540</v>
      </c>
      <c r="E449" s="239"/>
      <c r="F449" s="259"/>
      <c r="G449" s="232"/>
      <c r="H449" s="260"/>
      <c r="I449" s="258"/>
      <c r="J449" s="603"/>
      <c r="K449" s="602"/>
      <c r="L449" s="232"/>
      <c r="M449" s="495"/>
      <c r="N449" s="536"/>
      <c r="O449" s="234"/>
      <c r="P449" s="233"/>
      <c r="Q449" s="381"/>
      <c r="R449" s="229">
        <f>SUM(R450:R454)</f>
        <v>0</v>
      </c>
      <c r="S449" s="229">
        <f>SUM(S450:S454)</f>
        <v>0</v>
      </c>
      <c r="T449" s="229">
        <f>SUM(T450:T454)</f>
        <v>0</v>
      </c>
      <c r="U449" s="229">
        <f>SUM(U450:U454)</f>
        <v>0</v>
      </c>
      <c r="V449" s="229">
        <f>SUM(V450:V454)</f>
        <v>0</v>
      </c>
      <c r="AB449" s="56"/>
      <c r="AD449" s="477"/>
      <c r="AE449" s="409"/>
      <c r="AF449" s="109"/>
    </row>
    <row r="450" spans="1:32" s="283" customFormat="1" ht="15.6" outlineLevel="1" x14ac:dyDescent="0.3">
      <c r="A450" s="264" t="s">
        <v>560</v>
      </c>
      <c r="B450" s="208">
        <f>$W$2</f>
        <v>2023</v>
      </c>
      <c r="C450" s="304"/>
      <c r="D450" s="218"/>
      <c r="E450" s="217" t="s">
        <v>578</v>
      </c>
      <c r="F450" s="217" t="s">
        <v>519</v>
      </c>
      <c r="G450" s="218">
        <v>103.7</v>
      </c>
      <c r="H450" s="208" t="s">
        <v>520</v>
      </c>
      <c r="I450" s="219"/>
      <c r="J450" s="217"/>
      <c r="K450" s="250"/>
      <c r="L450" s="217"/>
      <c r="M450" s="494"/>
      <c r="N450" s="535"/>
      <c r="O450" s="221"/>
      <c r="P450" s="220"/>
      <c r="Q450" s="381">
        <v>1</v>
      </c>
      <c r="R450" s="222">
        <f>SUM(S450,T450,U450,V450)</f>
        <v>0</v>
      </c>
      <c r="S450" s="222"/>
      <c r="T450" s="222"/>
      <c r="U450" s="222"/>
      <c r="V450" s="222"/>
      <c r="AC450" s="414"/>
      <c r="AD450" s="471"/>
    </row>
    <row r="451" spans="1:32" ht="15.6" outlineLevel="1" x14ac:dyDescent="0.3">
      <c r="A451" s="264" t="s">
        <v>808</v>
      </c>
      <c r="B451" s="208">
        <f>$W$1</f>
        <v>2024</v>
      </c>
      <c r="C451" s="304"/>
      <c r="D451" s="218"/>
      <c r="E451" s="217" t="s">
        <v>578</v>
      </c>
      <c r="F451" s="217" t="s">
        <v>519</v>
      </c>
      <c r="G451" s="218">
        <v>103.7</v>
      </c>
      <c r="H451" s="208" t="s">
        <v>520</v>
      </c>
      <c r="I451" s="219"/>
      <c r="J451" s="217"/>
      <c r="K451" s="250"/>
      <c r="L451" s="217"/>
      <c r="M451" s="494"/>
      <c r="N451" s="535"/>
      <c r="O451" s="221"/>
      <c r="P451" s="220"/>
      <c r="Q451" s="381">
        <v>3</v>
      </c>
      <c r="R451" s="222">
        <f>SUM(S451,T451,U451,V451)</f>
        <v>0</v>
      </c>
      <c r="S451" s="222"/>
      <c r="T451" s="222"/>
      <c r="U451" s="222"/>
      <c r="V451" s="222"/>
      <c r="AB451" s="425"/>
    </row>
    <row r="452" spans="1:32" ht="15.6" outlineLevel="1" x14ac:dyDescent="0.3">
      <c r="A452" s="264" t="s">
        <v>848</v>
      </c>
      <c r="B452" s="208">
        <f>$W$1</f>
        <v>2024</v>
      </c>
      <c r="C452" s="304"/>
      <c r="D452" s="218"/>
      <c r="E452" s="217" t="s">
        <v>578</v>
      </c>
      <c r="F452" s="217" t="s">
        <v>519</v>
      </c>
      <c r="G452" s="218">
        <v>103.7</v>
      </c>
      <c r="H452" s="208" t="s">
        <v>520</v>
      </c>
      <c r="I452" s="219"/>
      <c r="J452" s="217"/>
      <c r="K452" s="250"/>
      <c r="L452" s="217"/>
      <c r="M452" s="494"/>
      <c r="N452" s="535"/>
      <c r="O452" s="221"/>
      <c r="P452" s="220"/>
      <c r="Q452" s="381">
        <v>2</v>
      </c>
      <c r="R452" s="222">
        <f>SUM(S452,T452,U452,V452)</f>
        <v>0</v>
      </c>
      <c r="S452" s="222"/>
      <c r="T452" s="222"/>
      <c r="U452" s="222"/>
      <c r="V452" s="222"/>
      <c r="AB452" s="425"/>
    </row>
    <row r="453" spans="1:32" ht="15.6" outlineLevel="1" x14ac:dyDescent="0.3">
      <c r="A453" s="264" t="s">
        <v>847</v>
      </c>
      <c r="B453" s="208">
        <f>$W$1</f>
        <v>2024</v>
      </c>
      <c r="C453" s="304"/>
      <c r="D453" s="218"/>
      <c r="E453" s="217" t="s">
        <v>578</v>
      </c>
      <c r="F453" s="217" t="s">
        <v>519</v>
      </c>
      <c r="G453" s="218">
        <v>126.13</v>
      </c>
      <c r="H453" s="208" t="s">
        <v>520</v>
      </c>
      <c r="I453" s="219"/>
      <c r="J453" s="217"/>
      <c r="K453" s="250"/>
      <c r="L453" s="217"/>
      <c r="M453" s="494"/>
      <c r="N453" s="535"/>
      <c r="O453" s="221"/>
      <c r="P453" s="220"/>
      <c r="Q453" s="381">
        <v>4</v>
      </c>
      <c r="R453" s="222">
        <f>SUM(S453,T453,U453,V453)</f>
        <v>0</v>
      </c>
      <c r="S453" s="222"/>
      <c r="T453" s="222"/>
      <c r="U453" s="222"/>
      <c r="V453" s="222"/>
      <c r="AB453" s="425"/>
    </row>
    <row r="454" spans="1:32" ht="15.6" outlineLevel="1" x14ac:dyDescent="0.3">
      <c r="A454" s="264" t="s">
        <v>824</v>
      </c>
      <c r="B454" s="208">
        <f>$W$1</f>
        <v>2024</v>
      </c>
      <c r="C454" s="304"/>
      <c r="D454" s="218"/>
      <c r="E454" s="217" t="s">
        <v>578</v>
      </c>
      <c r="F454" s="217" t="s">
        <v>519</v>
      </c>
      <c r="G454" s="218">
        <v>126.13</v>
      </c>
      <c r="H454" s="208" t="s">
        <v>520</v>
      </c>
      <c r="I454" s="219"/>
      <c r="J454" s="217"/>
      <c r="K454" s="250"/>
      <c r="L454" s="217"/>
      <c r="M454" s="494"/>
      <c r="N454" s="535"/>
      <c r="O454" s="221"/>
      <c r="P454" s="220"/>
      <c r="Q454" s="381">
        <v>2</v>
      </c>
      <c r="R454" s="222">
        <f>SUM(S454,T454,U454,V454)</f>
        <v>0</v>
      </c>
      <c r="S454" s="222"/>
      <c r="T454" s="222"/>
      <c r="U454" s="222"/>
      <c r="V454" s="222"/>
      <c r="AB454" s="425"/>
    </row>
    <row r="455" spans="1:32" ht="16.2" outlineLevel="1" x14ac:dyDescent="0.35">
      <c r="A455" s="290" t="s">
        <v>539</v>
      </c>
      <c r="B455" s="291"/>
      <c r="C455" s="237"/>
      <c r="D455" s="238" t="s">
        <v>540</v>
      </c>
      <c r="E455" s="239"/>
      <c r="F455" s="259"/>
      <c r="G455" s="232"/>
      <c r="H455" s="260"/>
      <c r="I455" s="258"/>
      <c r="J455" s="232"/>
      <c r="K455" s="282"/>
      <c r="L455" s="232"/>
      <c r="M455" s="495"/>
      <c r="N455" s="536"/>
      <c r="O455" s="234"/>
      <c r="P455" s="233"/>
      <c r="Q455" s="381"/>
      <c r="R455" s="229">
        <f>SUM(R456:R460)</f>
        <v>0</v>
      </c>
      <c r="S455" s="229">
        <f>SUM(S456:S460)</f>
        <v>0</v>
      </c>
      <c r="T455" s="229">
        <f>SUM(T456:T460)</f>
        <v>0</v>
      </c>
      <c r="U455" s="229">
        <f>SUM(U456:U460)</f>
        <v>0</v>
      </c>
      <c r="V455" s="229">
        <f>SUM(V456:V460)</f>
        <v>0</v>
      </c>
      <c r="AB455" s="56"/>
      <c r="AD455" s="477"/>
      <c r="AE455" s="409"/>
      <c r="AF455" s="109"/>
    </row>
    <row r="456" spans="1:32" s="283" customFormat="1" ht="15.6" outlineLevel="1" x14ac:dyDescent="0.3">
      <c r="A456" s="264" t="s">
        <v>560</v>
      </c>
      <c r="B456" s="208">
        <f>$W$2</f>
        <v>2023</v>
      </c>
      <c r="C456" s="431"/>
      <c r="D456" s="315"/>
      <c r="E456" s="217" t="s">
        <v>578</v>
      </c>
      <c r="F456" s="217" t="s">
        <v>519</v>
      </c>
      <c r="G456" s="218">
        <v>103.7</v>
      </c>
      <c r="H456" s="208" t="s">
        <v>520</v>
      </c>
      <c r="I456" s="219"/>
      <c r="J456" s="217"/>
      <c r="K456" s="250"/>
      <c r="L456" s="217"/>
      <c r="M456" s="494"/>
      <c r="N456" s="535"/>
      <c r="O456" s="221"/>
      <c r="P456" s="220"/>
      <c r="Q456" s="381">
        <v>1</v>
      </c>
      <c r="R456" s="222">
        <f>SUM(S456,T456,U456,V456)</f>
        <v>0</v>
      </c>
      <c r="S456" s="222"/>
      <c r="T456" s="222"/>
      <c r="U456" s="222"/>
      <c r="V456" s="222"/>
      <c r="AC456" s="414"/>
      <c r="AD456" s="471"/>
    </row>
    <row r="457" spans="1:32" ht="15.6" outlineLevel="1" x14ac:dyDescent="0.3">
      <c r="A457" s="264" t="s">
        <v>808</v>
      </c>
      <c r="B457" s="208">
        <f>$W$1</f>
        <v>2024</v>
      </c>
      <c r="C457" s="418"/>
      <c r="D457" s="315"/>
      <c r="E457" s="217" t="s">
        <v>578</v>
      </c>
      <c r="F457" s="217" t="s">
        <v>519</v>
      </c>
      <c r="G457" s="218">
        <v>103.7</v>
      </c>
      <c r="H457" s="208" t="s">
        <v>520</v>
      </c>
      <c r="I457" s="219"/>
      <c r="J457" s="217"/>
      <c r="K457" s="250"/>
      <c r="L457" s="217"/>
      <c r="M457" s="494"/>
      <c r="N457" s="535"/>
      <c r="O457" s="221"/>
      <c r="P457" s="220"/>
      <c r="Q457" s="381">
        <v>3</v>
      </c>
      <c r="R457" s="222">
        <f>SUM(S457,T457,U457,V457)</f>
        <v>0</v>
      </c>
      <c r="S457" s="222"/>
      <c r="T457" s="222"/>
      <c r="U457" s="222"/>
      <c r="V457" s="222"/>
    </row>
    <row r="458" spans="1:32" ht="15.6" outlineLevel="1" x14ac:dyDescent="0.3">
      <c r="A458" s="264" t="s">
        <v>848</v>
      </c>
      <c r="B458" s="208">
        <f>$W$1</f>
        <v>2024</v>
      </c>
      <c r="C458" s="418"/>
      <c r="D458" s="315"/>
      <c r="E458" s="217" t="s">
        <v>578</v>
      </c>
      <c r="F458" s="217" t="s">
        <v>519</v>
      </c>
      <c r="G458" s="218">
        <v>103.7</v>
      </c>
      <c r="H458" s="208" t="s">
        <v>520</v>
      </c>
      <c r="I458" s="219"/>
      <c r="J458" s="217"/>
      <c r="K458" s="250"/>
      <c r="L458" s="217"/>
      <c r="M458" s="494"/>
      <c r="N458" s="535"/>
      <c r="O458" s="221"/>
      <c r="P458" s="220"/>
      <c r="Q458" s="381">
        <v>2</v>
      </c>
      <c r="R458" s="222">
        <f>SUM(S458,T458,U458,V458)</f>
        <v>0</v>
      </c>
      <c r="S458" s="222"/>
      <c r="T458" s="222"/>
      <c r="U458" s="222"/>
      <c r="V458" s="222"/>
    </row>
    <row r="459" spans="1:32" ht="15.6" outlineLevel="1" x14ac:dyDescent="0.3">
      <c r="A459" s="264" t="s">
        <v>847</v>
      </c>
      <c r="B459" s="208">
        <f>$W$1</f>
        <v>2024</v>
      </c>
      <c r="C459" s="418"/>
      <c r="D459" s="315"/>
      <c r="E459" s="217" t="s">
        <v>578</v>
      </c>
      <c r="F459" s="217" t="s">
        <v>519</v>
      </c>
      <c r="G459" s="218">
        <v>126.13</v>
      </c>
      <c r="H459" s="208" t="s">
        <v>520</v>
      </c>
      <c r="I459" s="219"/>
      <c r="J459" s="217"/>
      <c r="K459" s="250"/>
      <c r="L459" s="217"/>
      <c r="M459" s="494"/>
      <c r="N459" s="535"/>
      <c r="O459" s="221"/>
      <c r="P459" s="220"/>
      <c r="Q459" s="381">
        <v>4</v>
      </c>
      <c r="R459" s="222">
        <f>SUM(S459,T459,U459,V459)</f>
        <v>0</v>
      </c>
      <c r="S459" s="222"/>
      <c r="T459" s="222"/>
      <c r="U459" s="222"/>
      <c r="V459" s="222"/>
    </row>
    <row r="460" spans="1:32" ht="15.6" outlineLevel="1" x14ac:dyDescent="0.3">
      <c r="A460" s="264" t="s">
        <v>824</v>
      </c>
      <c r="B460" s="208">
        <f>$W$1</f>
        <v>2024</v>
      </c>
      <c r="C460" s="418"/>
      <c r="D460" s="315"/>
      <c r="E460" s="217" t="s">
        <v>578</v>
      </c>
      <c r="F460" s="217" t="s">
        <v>519</v>
      </c>
      <c r="G460" s="218">
        <v>126.13</v>
      </c>
      <c r="H460" s="208" t="s">
        <v>520</v>
      </c>
      <c r="I460" s="219"/>
      <c r="J460" s="217"/>
      <c r="K460" s="250"/>
      <c r="L460" s="217"/>
      <c r="M460" s="494"/>
      <c r="N460" s="535"/>
      <c r="O460" s="221"/>
      <c r="P460" s="220"/>
      <c r="Q460" s="381">
        <v>2</v>
      </c>
      <c r="R460" s="222">
        <f>SUM(S460,T460,U460,V460)</f>
        <v>0</v>
      </c>
      <c r="S460" s="222"/>
      <c r="T460" s="222"/>
      <c r="U460" s="222"/>
      <c r="V460" s="222"/>
    </row>
    <row r="461" spans="1:32" ht="16.2" x14ac:dyDescent="0.35">
      <c r="A461" s="231" t="s">
        <v>648</v>
      </c>
      <c r="B461" s="232"/>
      <c r="C461" s="232"/>
      <c r="D461" s="303"/>
      <c r="E461" s="232"/>
      <c r="F461" s="259"/>
      <c r="G461" s="232"/>
      <c r="H461" s="260"/>
      <c r="I461" s="550"/>
      <c r="J461" s="232"/>
      <c r="K461" s="282"/>
      <c r="L461" s="232"/>
      <c r="M461" s="495"/>
      <c r="N461" s="536" t="s">
        <v>294</v>
      </c>
      <c r="O461" s="234">
        <v>244</v>
      </c>
      <c r="P461" s="233">
        <v>226</v>
      </c>
      <c r="Q461" s="381"/>
      <c r="R461" s="229">
        <f>SUM(R462:R467)</f>
        <v>0</v>
      </c>
      <c r="S461" s="229">
        <f>SUM(S462:S467)</f>
        <v>0</v>
      </c>
      <c r="T461" s="229">
        <f>SUM(T462:T467)</f>
        <v>0</v>
      </c>
      <c r="U461" s="229">
        <f>SUM(U462:U467)</f>
        <v>0</v>
      </c>
      <c r="V461" s="229">
        <f>SUM(V462:V467)</f>
        <v>0</v>
      </c>
      <c r="AB461" s="56"/>
    </row>
    <row r="462" spans="1:32" s="283" customFormat="1" ht="15.6" outlineLevel="1" x14ac:dyDescent="0.3">
      <c r="A462" s="216" t="s">
        <v>649</v>
      </c>
      <c r="B462" s="217"/>
      <c r="C462" s="217"/>
      <c r="D462" s="218"/>
      <c r="E462" s="217" t="s">
        <v>531</v>
      </c>
      <c r="F462" s="217" t="s">
        <v>519</v>
      </c>
      <c r="G462" s="218">
        <v>2680</v>
      </c>
      <c r="H462" s="208" t="s">
        <v>520</v>
      </c>
      <c r="I462" s="219"/>
      <c r="J462" s="217"/>
      <c r="K462" s="278"/>
      <c r="L462" s="217"/>
      <c r="M462" s="494"/>
      <c r="N462" s="535"/>
      <c r="O462" s="221"/>
      <c r="P462" s="220"/>
      <c r="Q462" s="381">
        <v>1</v>
      </c>
      <c r="R462" s="222">
        <f t="shared" ref="R462:R467" si="7">SUM(S462,T462,U462,V462)</f>
        <v>0</v>
      </c>
      <c r="S462" s="222"/>
      <c r="T462" s="222"/>
      <c r="U462" s="222"/>
      <c r="V462" s="222"/>
      <c r="AB462" s="427"/>
      <c r="AC462" s="414"/>
      <c r="AD462" s="471"/>
    </row>
    <row r="463" spans="1:32" s="279" customFormat="1" ht="15.6" outlineLevel="1" x14ac:dyDescent="0.3">
      <c r="A463" s="216" t="s">
        <v>650</v>
      </c>
      <c r="B463" s="217"/>
      <c r="C463" s="217"/>
      <c r="D463" s="218"/>
      <c r="E463" s="217" t="s">
        <v>531</v>
      </c>
      <c r="F463" s="217" t="s">
        <v>519</v>
      </c>
      <c r="G463" s="218">
        <v>3300</v>
      </c>
      <c r="H463" s="208" t="s">
        <v>520</v>
      </c>
      <c r="I463" s="548"/>
      <c r="J463" s="217"/>
      <c r="L463" s="217"/>
      <c r="M463" s="494"/>
      <c r="N463" s="535"/>
      <c r="O463" s="221"/>
      <c r="P463" s="220"/>
      <c r="Q463" s="381">
        <v>1</v>
      </c>
      <c r="R463" s="222">
        <f t="shared" si="7"/>
        <v>0</v>
      </c>
      <c r="S463" s="222"/>
      <c r="T463" s="222"/>
      <c r="U463" s="222"/>
      <c r="V463" s="222"/>
      <c r="AC463" s="414"/>
      <c r="AD463" s="471"/>
      <c r="AF463" s="426"/>
    </row>
    <row r="464" spans="1:32" s="279" customFormat="1" ht="15.6" outlineLevel="1" x14ac:dyDescent="0.3">
      <c r="A464" s="216" t="s">
        <v>778</v>
      </c>
      <c r="B464" s="217"/>
      <c r="C464" s="217"/>
      <c r="D464" s="218"/>
      <c r="E464" s="217" t="s">
        <v>531</v>
      </c>
      <c r="F464" s="217" t="s">
        <v>519</v>
      </c>
      <c r="G464" s="218"/>
      <c r="H464" s="208" t="s">
        <v>520</v>
      </c>
      <c r="I464" s="551"/>
      <c r="J464" s="217"/>
      <c r="K464" s="549"/>
      <c r="L464" s="217"/>
      <c r="M464" s="494"/>
      <c r="N464" s="535"/>
      <c r="O464" s="221"/>
      <c r="P464" s="220"/>
      <c r="Q464" s="381">
        <v>1</v>
      </c>
      <c r="R464" s="222">
        <f t="shared" si="7"/>
        <v>0</v>
      </c>
      <c r="S464" s="222"/>
      <c r="T464" s="222"/>
      <c r="U464" s="222"/>
      <c r="V464" s="222"/>
      <c r="AC464" s="414"/>
      <c r="AD464" s="471"/>
    </row>
    <row r="465" spans="1:30" s="279" customFormat="1" ht="15.6" outlineLevel="1" x14ac:dyDescent="0.3">
      <c r="A465" s="216" t="s">
        <v>779</v>
      </c>
      <c r="B465" s="217"/>
      <c r="C465" s="217"/>
      <c r="D465" s="218"/>
      <c r="E465" s="217" t="s">
        <v>531</v>
      </c>
      <c r="F465" s="217" t="s">
        <v>519</v>
      </c>
      <c r="G465" s="218"/>
      <c r="H465" s="208" t="s">
        <v>520</v>
      </c>
      <c r="I465" s="338"/>
      <c r="J465" s="217"/>
      <c r="K465" s="549"/>
      <c r="L465" s="217"/>
      <c r="M465" s="494"/>
      <c r="N465" s="535"/>
      <c r="O465" s="221"/>
      <c r="P465" s="220"/>
      <c r="Q465" s="381">
        <v>1</v>
      </c>
      <c r="R465" s="222">
        <f t="shared" si="7"/>
        <v>0</v>
      </c>
      <c r="S465" s="222"/>
      <c r="T465" s="222"/>
      <c r="U465" s="222"/>
      <c r="V465" s="222"/>
      <c r="AC465" s="414"/>
      <c r="AD465" s="471"/>
    </row>
    <row r="466" spans="1:30" s="279" customFormat="1" ht="15.6" outlineLevel="1" x14ac:dyDescent="0.3">
      <c r="A466" s="216" t="s">
        <v>777</v>
      </c>
      <c r="B466" s="217"/>
      <c r="C466" s="217"/>
      <c r="D466" s="218"/>
      <c r="E466" s="217" t="s">
        <v>531</v>
      </c>
      <c r="F466" s="217" t="s">
        <v>519</v>
      </c>
      <c r="G466" s="218">
        <v>500</v>
      </c>
      <c r="H466" s="208" t="s">
        <v>520</v>
      </c>
      <c r="I466" s="338"/>
      <c r="J466" s="217"/>
      <c r="K466" s="278"/>
      <c r="L466" s="217"/>
      <c r="M466" s="494"/>
      <c r="N466" s="535"/>
      <c r="O466" s="221"/>
      <c r="P466" s="220"/>
      <c r="Q466" s="381">
        <v>1</v>
      </c>
      <c r="R466" s="222">
        <f t="shared" si="7"/>
        <v>0</v>
      </c>
      <c r="S466" s="222"/>
      <c r="T466" s="222"/>
      <c r="U466" s="222"/>
      <c r="V466" s="222"/>
      <c r="AC466" s="414"/>
      <c r="AD466" s="471"/>
    </row>
    <row r="467" spans="1:30" s="279" customFormat="1" ht="15.6" outlineLevel="1" x14ac:dyDescent="0.3">
      <c r="A467" s="449" t="s">
        <v>651</v>
      </c>
      <c r="B467" s="278"/>
      <c r="C467" s="278"/>
      <c r="D467" s="218"/>
      <c r="E467" s="217" t="s">
        <v>531</v>
      </c>
      <c r="F467" s="217" t="s">
        <v>519</v>
      </c>
      <c r="G467" s="218">
        <v>1536.66</v>
      </c>
      <c r="H467" s="208" t="s">
        <v>520</v>
      </c>
      <c r="I467" s="219"/>
      <c r="J467" s="217"/>
      <c r="K467" s="278"/>
      <c r="L467" s="217"/>
      <c r="M467" s="494"/>
      <c r="N467" s="535"/>
      <c r="O467" s="221"/>
      <c r="P467" s="220"/>
      <c r="Q467" s="381">
        <v>12</v>
      </c>
      <c r="R467" s="222">
        <f t="shared" si="7"/>
        <v>0</v>
      </c>
      <c r="S467" s="222"/>
      <c r="T467" s="222"/>
      <c r="U467" s="222"/>
      <c r="V467" s="222"/>
      <c r="AC467" s="414"/>
      <c r="AD467" s="471"/>
    </row>
    <row r="468" spans="1:30" s="279" customFormat="1" ht="16.2" x14ac:dyDescent="0.35">
      <c r="A468" s="231" t="s">
        <v>652</v>
      </c>
      <c r="B468" s="232"/>
      <c r="C468" s="316"/>
      <c r="D468" s="303"/>
      <c r="E468" s="232"/>
      <c r="F468" s="259"/>
      <c r="G468" s="232"/>
      <c r="H468" s="260"/>
      <c r="I468" s="258"/>
      <c r="J468" s="232"/>
      <c r="K468" s="251"/>
      <c r="L468" s="232"/>
      <c r="M468" s="495"/>
      <c r="N468" s="536" t="s">
        <v>249</v>
      </c>
      <c r="O468" s="234">
        <v>244</v>
      </c>
      <c r="P468" s="233">
        <v>226</v>
      </c>
      <c r="Q468" s="381"/>
      <c r="R468" s="229">
        <f>SUM(R469)</f>
        <v>0</v>
      </c>
      <c r="S468" s="229">
        <f>SUM(S469)</f>
        <v>0</v>
      </c>
      <c r="T468" s="229">
        <f>SUM(T469)</f>
        <v>0</v>
      </c>
      <c r="U468" s="229">
        <f>SUM(U469)</f>
        <v>0</v>
      </c>
      <c r="V468" s="229">
        <f>SUM(V469)</f>
        <v>0</v>
      </c>
      <c r="AC468" s="414"/>
      <c r="AD468" s="471"/>
    </row>
    <row r="469" spans="1:30" s="45" customFormat="1" ht="15.6" outlineLevel="1" x14ac:dyDescent="0.3">
      <c r="A469" s="216"/>
      <c r="B469" s="304"/>
      <c r="C469" s="325"/>
      <c r="D469" s="218"/>
      <c r="E469" s="217" t="s">
        <v>653</v>
      </c>
      <c r="F469" s="217" t="s">
        <v>519</v>
      </c>
      <c r="G469" s="218">
        <v>13.5</v>
      </c>
      <c r="H469" s="208" t="s">
        <v>520</v>
      </c>
      <c r="I469" s="218">
        <v>21</v>
      </c>
      <c r="J469" s="208" t="s">
        <v>520</v>
      </c>
      <c r="K469" s="250"/>
      <c r="L469" s="217"/>
      <c r="M469" s="494"/>
      <c r="N469" s="535"/>
      <c r="O469" s="221"/>
      <c r="P469" s="220"/>
      <c r="Q469" s="381">
        <v>1</v>
      </c>
      <c r="R469" s="222">
        <f>SUM(S469,T469,U469,V469)</f>
        <v>0</v>
      </c>
      <c r="S469" s="222"/>
      <c r="T469" s="222"/>
      <c r="U469" s="222"/>
      <c r="V469" s="222"/>
      <c r="AC469" s="414"/>
      <c r="AD469" s="471"/>
    </row>
    <row r="470" spans="1:30" ht="16.2" x14ac:dyDescent="0.35">
      <c r="A470" s="335" t="s">
        <v>841</v>
      </c>
      <c r="B470" s="232"/>
      <c r="C470" s="232"/>
      <c r="D470" s="303"/>
      <c r="E470" s="232"/>
      <c r="F470" s="259"/>
      <c r="G470" s="232"/>
      <c r="H470" s="260"/>
      <c r="I470" s="258"/>
      <c r="J470" s="232"/>
      <c r="K470" s="282"/>
      <c r="L470" s="232"/>
      <c r="M470" s="495"/>
      <c r="N470" s="536"/>
      <c r="O470" s="234">
        <v>244</v>
      </c>
      <c r="P470" s="233">
        <v>226</v>
      </c>
      <c r="Q470" s="381"/>
      <c r="R470" s="229">
        <f>SUM(R471)</f>
        <v>0</v>
      </c>
      <c r="S470" s="229">
        <f>SUM(S471)</f>
        <v>0</v>
      </c>
      <c r="T470" s="229">
        <f>SUM(T471)</f>
        <v>0</v>
      </c>
      <c r="U470" s="229">
        <f>SUM(U471)</f>
        <v>0</v>
      </c>
      <c r="V470" s="229">
        <f>SUM(V471)</f>
        <v>0</v>
      </c>
    </row>
    <row r="471" spans="1:30" s="283" customFormat="1" ht="15.6" outlineLevel="1" x14ac:dyDescent="0.3">
      <c r="A471" s="264"/>
      <c r="B471" s="208"/>
      <c r="C471" s="217"/>
      <c r="D471" s="218"/>
      <c r="E471" s="217" t="s">
        <v>605</v>
      </c>
      <c r="F471" s="217" t="s">
        <v>519</v>
      </c>
      <c r="G471" s="218">
        <v>1300</v>
      </c>
      <c r="H471" s="208" t="s">
        <v>520</v>
      </c>
      <c r="I471" s="219"/>
      <c r="J471" s="217"/>
      <c r="K471" s="250"/>
      <c r="L471" s="217"/>
      <c r="M471" s="494"/>
      <c r="N471" s="535"/>
      <c r="O471" s="221"/>
      <c r="P471" s="220"/>
      <c r="Q471" s="381"/>
      <c r="R471" s="222">
        <f>SUM(S471,T471,U471,V471)</f>
        <v>0</v>
      </c>
      <c r="S471" s="222"/>
      <c r="T471" s="222"/>
      <c r="U471" s="222"/>
      <c r="V471" s="222"/>
      <c r="AC471" s="414"/>
      <c r="AD471" s="471"/>
    </row>
    <row r="472" spans="1:30" ht="16.2" x14ac:dyDescent="0.35">
      <c r="A472" s="231" t="s">
        <v>702</v>
      </c>
      <c r="B472" s="232"/>
      <c r="C472" s="232"/>
      <c r="D472" s="232"/>
      <c r="E472" s="232"/>
      <c r="F472" s="259"/>
      <c r="G472" s="232"/>
      <c r="H472" s="260"/>
      <c r="I472" s="258"/>
      <c r="J472" s="232"/>
      <c r="K472" s="282"/>
      <c r="L472" s="232"/>
      <c r="M472" s="495"/>
      <c r="N472" s="536" t="s">
        <v>249</v>
      </c>
      <c r="O472" s="234">
        <v>244</v>
      </c>
      <c r="P472" s="233">
        <v>226</v>
      </c>
      <c r="Q472" s="381"/>
      <c r="R472" s="229">
        <f>SUM(R473:R474)</f>
        <v>0</v>
      </c>
      <c r="S472" s="229">
        <f>SUM(S473:S474)</f>
        <v>0</v>
      </c>
      <c r="T472" s="229">
        <f>SUM(T473:T474)</f>
        <v>0</v>
      </c>
      <c r="U472" s="229">
        <f>SUM(U473:U474)</f>
        <v>0</v>
      </c>
      <c r="V472" s="229">
        <f>SUM(V473:V474)</f>
        <v>0</v>
      </c>
    </row>
    <row r="473" spans="1:30" s="283" customFormat="1" ht="15.6" outlineLevel="1" x14ac:dyDescent="0.3">
      <c r="A473" s="264" t="s">
        <v>560</v>
      </c>
      <c r="B473" s="208">
        <f>$W$2</f>
        <v>2023</v>
      </c>
      <c r="C473" s="217"/>
      <c r="D473" s="218"/>
      <c r="E473" s="334" t="s">
        <v>578</v>
      </c>
      <c r="F473" s="217"/>
      <c r="G473" s="218">
        <v>661.82</v>
      </c>
      <c r="H473" s="208" t="s">
        <v>520</v>
      </c>
      <c r="I473" s="219"/>
      <c r="J473" s="217"/>
      <c r="K473" s="250"/>
      <c r="L473" s="217"/>
      <c r="M473" s="494"/>
      <c r="N473" s="535"/>
      <c r="O473" s="221"/>
      <c r="P473" s="220"/>
      <c r="Q473" s="381">
        <v>1</v>
      </c>
      <c r="R473" s="222">
        <f>SUM(S473,T473,U473,V473)</f>
        <v>0</v>
      </c>
      <c r="S473" s="222"/>
      <c r="T473" s="222"/>
      <c r="U473" s="222"/>
      <c r="V473" s="222"/>
      <c r="AC473" s="414"/>
      <c r="AD473" s="471"/>
    </row>
    <row r="474" spans="1:30" ht="15.6" outlineLevel="1" x14ac:dyDescent="0.3">
      <c r="A474" s="264" t="s">
        <v>629</v>
      </c>
      <c r="B474" s="208">
        <f>$W$1</f>
        <v>2024</v>
      </c>
      <c r="C474" s="217"/>
      <c r="D474" s="292"/>
      <c r="E474" s="334" t="s">
        <v>578</v>
      </c>
      <c r="F474" s="217"/>
      <c r="G474" s="218">
        <v>1327.6</v>
      </c>
      <c r="H474" s="208" t="s">
        <v>520</v>
      </c>
      <c r="I474" s="219"/>
      <c r="J474" s="217"/>
      <c r="K474" s="250"/>
      <c r="L474" s="217"/>
      <c r="M474" s="494"/>
      <c r="N474" s="535"/>
      <c r="O474" s="221"/>
      <c r="P474" s="220"/>
      <c r="Q474" s="381">
        <v>11</v>
      </c>
      <c r="R474" s="222">
        <f>SUM(S474,T474,U474,V474)</f>
        <v>0</v>
      </c>
      <c r="S474" s="222"/>
      <c r="T474" s="222"/>
      <c r="U474" s="222"/>
      <c r="V474" s="222"/>
    </row>
    <row r="475" spans="1:30" ht="16.2" x14ac:dyDescent="0.35">
      <c r="A475" s="231" t="s">
        <v>879</v>
      </c>
      <c r="B475" s="232"/>
      <c r="C475" s="232"/>
      <c r="D475" s="232"/>
      <c r="E475" s="232"/>
      <c r="F475" s="259"/>
      <c r="G475" s="232"/>
      <c r="H475" s="260"/>
      <c r="I475" s="258"/>
      <c r="J475" s="232"/>
      <c r="K475" s="282"/>
      <c r="L475" s="232"/>
      <c r="M475" s="495"/>
      <c r="N475" s="536"/>
      <c r="O475" s="234">
        <v>244</v>
      </c>
      <c r="P475" s="233">
        <v>226</v>
      </c>
      <c r="Q475" s="381"/>
      <c r="R475" s="229">
        <f>SUM(R476:R477)</f>
        <v>0</v>
      </c>
      <c r="S475" s="229">
        <f>SUM(S476:S477)</f>
        <v>0</v>
      </c>
      <c r="T475" s="229">
        <f>SUM(T476:T477)</f>
        <v>0</v>
      </c>
      <c r="U475" s="229">
        <f>SUM(U476:U477)</f>
        <v>0</v>
      </c>
      <c r="V475" s="229">
        <f>SUM(V476:V477)</f>
        <v>0</v>
      </c>
    </row>
    <row r="476" spans="1:30" s="283" customFormat="1" ht="15.6" outlineLevel="1" x14ac:dyDescent="0.3">
      <c r="A476" s="264" t="s">
        <v>560</v>
      </c>
      <c r="B476" s="208">
        <f>$W$2</f>
        <v>2023</v>
      </c>
      <c r="C476" s="217"/>
      <c r="D476" s="217"/>
      <c r="E476" s="217"/>
      <c r="F476" s="217"/>
      <c r="G476" s="218"/>
      <c r="H476" s="208" t="s">
        <v>520</v>
      </c>
      <c r="I476" s="219"/>
      <c r="J476" s="217"/>
      <c r="K476" s="250"/>
      <c r="L476" s="217"/>
      <c r="M476" s="494"/>
      <c r="N476" s="535"/>
      <c r="O476" s="221"/>
      <c r="P476" s="220"/>
      <c r="Q476" s="381"/>
      <c r="R476" s="222">
        <f>SUM(S476,T476,U476,V476)</f>
        <v>0</v>
      </c>
      <c r="S476" s="222"/>
      <c r="T476" s="222"/>
      <c r="U476" s="222"/>
      <c r="V476" s="222"/>
      <c r="AC476" s="414"/>
      <c r="AD476" s="471"/>
    </row>
    <row r="477" spans="1:30" ht="15.6" outlineLevel="1" x14ac:dyDescent="0.3">
      <c r="A477" s="264" t="s">
        <v>629</v>
      </c>
      <c r="B477" s="208">
        <f>$W$1</f>
        <v>2024</v>
      </c>
      <c r="C477" s="217"/>
      <c r="D477" s="217"/>
      <c r="E477" s="217"/>
      <c r="F477" s="217"/>
      <c r="G477" s="218"/>
      <c r="H477" s="208" t="s">
        <v>520</v>
      </c>
      <c r="I477" s="219"/>
      <c r="J477" s="217"/>
      <c r="K477" s="250"/>
      <c r="L477" s="217"/>
      <c r="M477" s="494"/>
      <c r="N477" s="535"/>
      <c r="O477" s="221"/>
      <c r="P477" s="220"/>
      <c r="Q477" s="381"/>
      <c r="R477" s="222">
        <f>SUM(S477,T477,U477,V477)</f>
        <v>0</v>
      </c>
      <c r="S477" s="222"/>
      <c r="T477" s="222"/>
      <c r="U477" s="222"/>
      <c r="V477" s="222"/>
    </row>
    <row r="478" spans="1:30" ht="16.2" x14ac:dyDescent="0.35">
      <c r="A478" s="231" t="s">
        <v>703</v>
      </c>
      <c r="B478" s="232"/>
      <c r="C478" s="232"/>
      <c r="D478" s="232"/>
      <c r="E478" s="232"/>
      <c r="F478" s="259"/>
      <c r="G478" s="232"/>
      <c r="H478" s="260"/>
      <c r="I478" s="258"/>
      <c r="J478" s="232"/>
      <c r="K478" s="282"/>
      <c r="L478" s="232"/>
      <c r="M478" s="495"/>
      <c r="N478" s="536" t="s">
        <v>249</v>
      </c>
      <c r="O478" s="234">
        <v>244</v>
      </c>
      <c r="P478" s="233">
        <v>226</v>
      </c>
      <c r="Q478" s="381"/>
      <c r="R478" s="229">
        <f>SUM(R479:R487)</f>
        <v>0</v>
      </c>
      <c r="S478" s="229">
        <f>SUM(S479:S487)</f>
        <v>0</v>
      </c>
      <c r="T478" s="229">
        <f>SUM(T479:T487)</f>
        <v>0</v>
      </c>
      <c r="U478" s="229">
        <f>SUM(U479:U487)</f>
        <v>0</v>
      </c>
      <c r="V478" s="229">
        <f>SUM(V479:V487)</f>
        <v>0</v>
      </c>
    </row>
    <row r="479" spans="1:30" ht="16.2" outlineLevel="1" x14ac:dyDescent="0.35">
      <c r="A479" s="216"/>
      <c r="B479" s="304"/>
      <c r="C479" s="217"/>
      <c r="D479" s="218"/>
      <c r="E479" s="217" t="s">
        <v>574</v>
      </c>
      <c r="F479" s="217" t="s">
        <v>519</v>
      </c>
      <c r="G479" s="218"/>
      <c r="H479" s="208" t="s">
        <v>520</v>
      </c>
      <c r="I479" s="258"/>
      <c r="J479" s="232"/>
      <c r="K479" s="282"/>
      <c r="L479" s="232"/>
      <c r="M479" s="495"/>
      <c r="N479" s="536"/>
      <c r="O479" s="234"/>
      <c r="P479" s="233"/>
      <c r="Q479" s="381">
        <v>1</v>
      </c>
      <c r="R479" s="222">
        <f t="shared" ref="R479:R487" si="8">SUM(S479,T479,U479,V479)</f>
        <v>0</v>
      </c>
      <c r="S479" s="222"/>
      <c r="T479" s="222"/>
      <c r="U479" s="222"/>
      <c r="V479" s="222"/>
    </row>
    <row r="480" spans="1:30" ht="16.2" outlineLevel="1" x14ac:dyDescent="0.35">
      <c r="A480" s="216"/>
      <c r="B480" s="667"/>
      <c r="C480" s="232"/>
      <c r="D480" s="218"/>
      <c r="E480" s="217" t="s">
        <v>574</v>
      </c>
      <c r="F480" s="217" t="s">
        <v>519</v>
      </c>
      <c r="G480" s="218"/>
      <c r="H480" s="208" t="s">
        <v>520</v>
      </c>
      <c r="I480" s="258"/>
      <c r="J480" s="232"/>
      <c r="K480" s="282"/>
      <c r="L480" s="232"/>
      <c r="M480" s="495"/>
      <c r="N480" s="536"/>
      <c r="O480" s="234"/>
      <c r="P480" s="233"/>
      <c r="Q480" s="381">
        <v>1</v>
      </c>
      <c r="R480" s="222">
        <f t="shared" si="8"/>
        <v>0</v>
      </c>
      <c r="S480" s="222"/>
      <c r="T480" s="222"/>
      <c r="U480" s="222"/>
      <c r="V480" s="222"/>
    </row>
    <row r="481" spans="1:30" ht="16.2" outlineLevel="1" x14ac:dyDescent="0.35">
      <c r="A481" s="216"/>
      <c r="B481" s="667"/>
      <c r="C481" s="232"/>
      <c r="D481" s="218"/>
      <c r="E481" s="217" t="s">
        <v>574</v>
      </c>
      <c r="F481" s="217" t="s">
        <v>519</v>
      </c>
      <c r="G481" s="218"/>
      <c r="H481" s="208" t="s">
        <v>520</v>
      </c>
      <c r="I481" s="258"/>
      <c r="J481" s="232"/>
      <c r="K481" s="282"/>
      <c r="L481" s="232"/>
      <c r="M481" s="495"/>
      <c r="N481" s="536"/>
      <c r="O481" s="234"/>
      <c r="P481" s="233"/>
      <c r="Q481" s="381">
        <v>1</v>
      </c>
      <c r="R481" s="222">
        <f t="shared" si="8"/>
        <v>0</v>
      </c>
      <c r="S481" s="222"/>
      <c r="T481" s="222"/>
      <c r="U481" s="222"/>
      <c r="V481" s="222"/>
    </row>
    <row r="482" spans="1:30" ht="16.2" outlineLevel="1" x14ac:dyDescent="0.35">
      <c r="A482" s="216"/>
      <c r="B482" s="667"/>
      <c r="C482" s="232"/>
      <c r="D482" s="218"/>
      <c r="E482" s="217" t="s">
        <v>574</v>
      </c>
      <c r="F482" s="217" t="s">
        <v>519</v>
      </c>
      <c r="G482" s="218"/>
      <c r="H482" s="208" t="s">
        <v>520</v>
      </c>
      <c r="I482" s="258"/>
      <c r="J482" s="232"/>
      <c r="K482" s="282"/>
      <c r="L482" s="232"/>
      <c r="M482" s="495"/>
      <c r="N482" s="536"/>
      <c r="O482" s="234"/>
      <c r="P482" s="233"/>
      <c r="Q482" s="381">
        <v>1</v>
      </c>
      <c r="R482" s="222">
        <f t="shared" si="8"/>
        <v>0</v>
      </c>
      <c r="S482" s="222"/>
      <c r="T482" s="222"/>
      <c r="U482" s="222"/>
      <c r="V482" s="222"/>
    </row>
    <row r="483" spans="1:30" ht="16.2" outlineLevel="1" x14ac:dyDescent="0.35">
      <c r="A483" s="216"/>
      <c r="B483" s="667"/>
      <c r="C483" s="232"/>
      <c r="D483" s="218"/>
      <c r="E483" s="217" t="s">
        <v>574</v>
      </c>
      <c r="F483" s="217" t="s">
        <v>519</v>
      </c>
      <c r="G483" s="218"/>
      <c r="H483" s="208" t="s">
        <v>520</v>
      </c>
      <c r="I483" s="258"/>
      <c r="J483" s="232"/>
      <c r="K483" s="282"/>
      <c r="L483" s="232"/>
      <c r="M483" s="495"/>
      <c r="N483" s="536"/>
      <c r="O483" s="234"/>
      <c r="P483" s="233"/>
      <c r="Q483" s="381">
        <v>1</v>
      </c>
      <c r="R483" s="222">
        <f t="shared" si="8"/>
        <v>0</v>
      </c>
      <c r="S483" s="222"/>
      <c r="T483" s="222"/>
      <c r="U483" s="222"/>
      <c r="V483" s="222"/>
    </row>
    <row r="484" spans="1:30" ht="16.2" outlineLevel="1" x14ac:dyDescent="0.35">
      <c r="A484" s="216"/>
      <c r="B484" s="667"/>
      <c r="C484" s="232"/>
      <c r="D484" s="218"/>
      <c r="E484" s="217" t="s">
        <v>574</v>
      </c>
      <c r="F484" s="217" t="s">
        <v>519</v>
      </c>
      <c r="G484" s="218"/>
      <c r="H484" s="208" t="s">
        <v>520</v>
      </c>
      <c r="I484" s="258"/>
      <c r="J484" s="232"/>
      <c r="K484" s="282"/>
      <c r="L484" s="232"/>
      <c r="M484" s="495"/>
      <c r="N484" s="536"/>
      <c r="O484" s="234"/>
      <c r="P484" s="233"/>
      <c r="Q484" s="381">
        <v>1</v>
      </c>
      <c r="R484" s="222">
        <f t="shared" si="8"/>
        <v>0</v>
      </c>
      <c r="S484" s="222"/>
      <c r="T484" s="222"/>
      <c r="U484" s="222"/>
      <c r="V484" s="222"/>
    </row>
    <row r="485" spans="1:30" ht="16.2" outlineLevel="1" x14ac:dyDescent="0.35">
      <c r="A485" s="216"/>
      <c r="B485" s="667"/>
      <c r="C485" s="232"/>
      <c r="D485" s="218"/>
      <c r="E485" s="217" t="s">
        <v>574</v>
      </c>
      <c r="F485" s="217" t="s">
        <v>519</v>
      </c>
      <c r="G485" s="218"/>
      <c r="H485" s="208" t="s">
        <v>520</v>
      </c>
      <c r="I485" s="258"/>
      <c r="J485" s="232"/>
      <c r="K485" s="282"/>
      <c r="L485" s="232"/>
      <c r="M485" s="495"/>
      <c r="N485" s="536"/>
      <c r="O485" s="234"/>
      <c r="P485" s="233"/>
      <c r="Q485" s="381">
        <v>1</v>
      </c>
      <c r="R485" s="222">
        <f>SUM(S485,T485,U485,V485)</f>
        <v>0</v>
      </c>
      <c r="S485" s="222"/>
      <c r="T485" s="222"/>
      <c r="U485" s="222"/>
      <c r="V485" s="222"/>
    </row>
    <row r="486" spans="1:30" ht="16.2" outlineLevel="1" x14ac:dyDescent="0.35">
      <c r="A486" s="216"/>
      <c r="B486" s="667"/>
      <c r="C486" s="232"/>
      <c r="D486" s="218"/>
      <c r="E486" s="217" t="s">
        <v>574</v>
      </c>
      <c r="F486" s="217" t="s">
        <v>519</v>
      </c>
      <c r="G486" s="218"/>
      <c r="H486" s="208" t="s">
        <v>520</v>
      </c>
      <c r="I486" s="258"/>
      <c r="J486" s="232"/>
      <c r="K486" s="282"/>
      <c r="L486" s="232"/>
      <c r="M486" s="495"/>
      <c r="N486" s="536"/>
      <c r="O486" s="234"/>
      <c r="P486" s="233"/>
      <c r="Q486" s="381">
        <v>1</v>
      </c>
      <c r="R486" s="222">
        <f t="shared" si="8"/>
        <v>0</v>
      </c>
      <c r="S486" s="222"/>
      <c r="T486" s="222"/>
      <c r="U486" s="222"/>
      <c r="V486" s="222"/>
    </row>
    <row r="487" spans="1:30" ht="16.2" outlineLevel="1" x14ac:dyDescent="0.35">
      <c r="A487" s="216"/>
      <c r="B487" s="667"/>
      <c r="C487" s="232"/>
      <c r="D487" s="218"/>
      <c r="E487" s="217" t="s">
        <v>574</v>
      </c>
      <c r="F487" s="217" t="s">
        <v>519</v>
      </c>
      <c r="G487" s="218"/>
      <c r="H487" s="208" t="s">
        <v>520</v>
      </c>
      <c r="I487" s="258"/>
      <c r="J487" s="232"/>
      <c r="K487" s="282"/>
      <c r="L487" s="232"/>
      <c r="M487" s="495"/>
      <c r="N487" s="536"/>
      <c r="O487" s="234"/>
      <c r="P487" s="233"/>
      <c r="Q487" s="381">
        <v>1</v>
      </c>
      <c r="R487" s="222">
        <f t="shared" si="8"/>
        <v>0</v>
      </c>
      <c r="S487" s="222"/>
      <c r="T487" s="222"/>
      <c r="U487" s="222"/>
      <c r="V487" s="222"/>
    </row>
    <row r="488" spans="1:30" s="283" customFormat="1" ht="16.2" x14ac:dyDescent="0.35">
      <c r="A488" s="231"/>
      <c r="B488" s="667"/>
      <c r="C488" s="232"/>
      <c r="D488" s="218"/>
      <c r="E488" s="217" t="s">
        <v>574</v>
      </c>
      <c r="F488" s="217" t="s">
        <v>519</v>
      </c>
      <c r="G488" s="218"/>
      <c r="H488" s="208" t="s">
        <v>520</v>
      </c>
      <c r="I488" s="218"/>
      <c r="J488" s="208" t="s">
        <v>520</v>
      </c>
      <c r="K488" s="282"/>
      <c r="L488" s="232"/>
      <c r="M488" s="495"/>
      <c r="N488" s="536" t="s">
        <v>249</v>
      </c>
      <c r="O488" s="234">
        <v>244</v>
      </c>
      <c r="P488" s="233">
        <v>226</v>
      </c>
      <c r="Q488" s="381">
        <v>12</v>
      </c>
      <c r="R488" s="229">
        <f>SUM(S488,T488,U488,V488)</f>
        <v>0</v>
      </c>
      <c r="S488" s="229"/>
      <c r="T488" s="229"/>
      <c r="U488" s="229"/>
      <c r="V488" s="229"/>
      <c r="AC488" s="414"/>
      <c r="AD488" s="471"/>
    </row>
    <row r="489" spans="1:30" ht="16.2" x14ac:dyDescent="0.35">
      <c r="A489" s="231" t="s">
        <v>834</v>
      </c>
      <c r="B489" s="232"/>
      <c r="C489" s="232"/>
      <c r="D489" s="259"/>
      <c r="E489" s="208"/>
      <c r="F489" s="259"/>
      <c r="G489" s="232"/>
      <c r="H489" s="260"/>
      <c r="I489" s="258"/>
      <c r="J489" s="232"/>
      <c r="K489" s="251"/>
      <c r="L489" s="232"/>
      <c r="M489" s="495"/>
      <c r="N489" s="536"/>
      <c r="O489" s="234">
        <v>244</v>
      </c>
      <c r="P489" s="233">
        <v>226</v>
      </c>
      <c r="Q489" s="381"/>
      <c r="R489" s="229">
        <f>SUM(S489,T489,U489,V489)</f>
        <v>0</v>
      </c>
      <c r="S489" s="229"/>
      <c r="T489" s="229"/>
      <c r="U489" s="229"/>
      <c r="V489" s="229"/>
    </row>
    <row r="490" spans="1:30" s="279" customFormat="1" ht="16.2" x14ac:dyDescent="0.35">
      <c r="A490" s="531" t="s">
        <v>845</v>
      </c>
      <c r="B490" s="258"/>
      <c r="C490" s="272"/>
      <c r="D490" s="258"/>
      <c r="E490" s="258"/>
      <c r="F490" s="258"/>
      <c r="G490" s="550"/>
      <c r="H490" s="258"/>
      <c r="I490" s="258"/>
      <c r="J490" s="258"/>
      <c r="K490" s="258"/>
      <c r="L490" s="258"/>
      <c r="M490" s="503"/>
      <c r="N490" s="531"/>
      <c r="O490" s="261">
        <v>244</v>
      </c>
      <c r="P490" s="262">
        <v>226</v>
      </c>
      <c r="Q490" s="382"/>
      <c r="R490" s="263">
        <f>SUM(S490,T490,U490,V490)</f>
        <v>0</v>
      </c>
      <c r="S490" s="263"/>
      <c r="T490" s="263"/>
      <c r="U490" s="263"/>
      <c r="V490" s="263"/>
      <c r="AC490" s="592"/>
      <c r="AD490" s="593"/>
    </row>
    <row r="491" spans="1:30" s="45" customFormat="1" ht="16.2" x14ac:dyDescent="0.35">
      <c r="A491" s="240" t="s">
        <v>654</v>
      </c>
      <c r="B491" s="241"/>
      <c r="C491" s="241"/>
      <c r="D491" s="241"/>
      <c r="E491" s="241"/>
      <c r="F491" s="259"/>
      <c r="G491" s="232"/>
      <c r="H491" s="260"/>
      <c r="I491" s="258"/>
      <c r="J491" s="232"/>
      <c r="K491" s="251"/>
      <c r="L491" s="241"/>
      <c r="M491" s="499"/>
      <c r="N491" s="518" t="s">
        <v>249</v>
      </c>
      <c r="O491" s="296">
        <v>244</v>
      </c>
      <c r="P491" s="297">
        <v>227</v>
      </c>
      <c r="Q491" s="384"/>
      <c r="R491" s="215">
        <f>SUM(S491,T491,U491,V491)</f>
        <v>0</v>
      </c>
      <c r="S491" s="215"/>
      <c r="T491" s="215"/>
      <c r="U491" s="215"/>
      <c r="V491" s="215"/>
      <c r="AC491" s="414"/>
      <c r="AD491" s="471"/>
    </row>
    <row r="492" spans="1:30" s="279" customFormat="1" ht="16.2" x14ac:dyDescent="0.35">
      <c r="A492" s="335" t="s">
        <v>801</v>
      </c>
      <c r="B492" s="232"/>
      <c r="C492" s="232"/>
      <c r="D492" s="303"/>
      <c r="E492" s="232"/>
      <c r="F492" s="259"/>
      <c r="G492" s="232"/>
      <c r="H492" s="260"/>
      <c r="I492" s="258"/>
      <c r="J492" s="232"/>
      <c r="K492" s="282"/>
      <c r="L492" s="232"/>
      <c r="M492" s="495"/>
      <c r="N492" s="536"/>
      <c r="O492" s="234">
        <v>244</v>
      </c>
      <c r="P492" s="233">
        <v>228</v>
      </c>
      <c r="Q492" s="381"/>
      <c r="R492" s="229">
        <f>SUM(R493)</f>
        <v>0</v>
      </c>
      <c r="S492" s="229">
        <f>SUM(S493)</f>
        <v>0</v>
      </c>
      <c r="T492" s="229">
        <f>SUM(T493)</f>
        <v>0</v>
      </c>
      <c r="U492" s="229">
        <f>SUM(U493)</f>
        <v>0</v>
      </c>
      <c r="V492" s="229">
        <f>SUM(V493)</f>
        <v>0</v>
      </c>
      <c r="AC492" s="414"/>
      <c r="AD492" s="471"/>
    </row>
    <row r="493" spans="1:30" s="283" customFormat="1" ht="15.6" outlineLevel="1" x14ac:dyDescent="0.3">
      <c r="A493" s="264"/>
      <c r="B493" s="208"/>
      <c r="C493" s="217"/>
      <c r="D493" s="218"/>
      <c r="E493" s="217"/>
      <c r="F493" s="217"/>
      <c r="G493" s="218"/>
      <c r="H493" s="208"/>
      <c r="I493" s="219"/>
      <c r="J493" s="217"/>
      <c r="K493" s="250"/>
      <c r="L493" s="217"/>
      <c r="M493" s="494"/>
      <c r="N493" s="535"/>
      <c r="O493" s="221"/>
      <c r="P493" s="220"/>
      <c r="Q493" s="381"/>
      <c r="R493" s="222">
        <f>SUM(S493,T493,U493,V493)</f>
        <v>0</v>
      </c>
      <c r="S493" s="222"/>
      <c r="T493" s="222"/>
      <c r="U493" s="222"/>
      <c r="V493" s="222"/>
      <c r="AC493" s="414"/>
      <c r="AD493" s="471"/>
    </row>
    <row r="494" spans="1:30" ht="16.2" x14ac:dyDescent="0.35">
      <c r="A494" s="240" t="s">
        <v>655</v>
      </c>
      <c r="B494" s="241"/>
      <c r="C494" s="241"/>
      <c r="D494" s="241"/>
      <c r="E494" s="241"/>
      <c r="F494" s="241"/>
      <c r="G494" s="241"/>
      <c r="H494" s="286"/>
      <c r="I494" s="286"/>
      <c r="J494" s="286"/>
      <c r="K494" s="286"/>
      <c r="L494" s="241"/>
      <c r="M494" s="499"/>
      <c r="N494" s="518"/>
      <c r="O494" s="296">
        <v>244</v>
      </c>
      <c r="P494" s="297">
        <v>310</v>
      </c>
      <c r="Q494" s="384"/>
      <c r="R494" s="229">
        <f>SUM(R495,R523,R544)</f>
        <v>0</v>
      </c>
      <c r="S494" s="229">
        <f>SUM(S495,S523,S544)</f>
        <v>0</v>
      </c>
      <c r="T494" s="229">
        <f>SUM(T495,T523,T544)</f>
        <v>0</v>
      </c>
      <c r="U494" s="229">
        <f>SUM(U495,U523,U544)</f>
        <v>0</v>
      </c>
      <c r="V494" s="229">
        <f>SUM(V495,V523,V544)</f>
        <v>0</v>
      </c>
    </row>
    <row r="495" spans="1:30" s="45" customFormat="1" ht="16.2" x14ac:dyDescent="0.35">
      <c r="A495" s="339" t="s">
        <v>657</v>
      </c>
      <c r="B495" s="232"/>
      <c r="C495" s="232"/>
      <c r="D495" s="340"/>
      <c r="E495" s="232"/>
      <c r="F495" s="259"/>
      <c r="G495" s="232"/>
      <c r="H495" s="260"/>
      <c r="I495" s="258"/>
      <c r="J495" s="232"/>
      <c r="K495" s="329"/>
      <c r="L495" s="232"/>
      <c r="M495" s="495"/>
      <c r="N495" s="536"/>
      <c r="O495" s="234">
        <v>244</v>
      </c>
      <c r="P495" s="233">
        <v>310</v>
      </c>
      <c r="Q495" s="381"/>
      <c r="R495" s="229">
        <f>SUM(R496:R522)</f>
        <v>0</v>
      </c>
      <c r="S495" s="229">
        <f>SUM(S496:S522)</f>
        <v>0</v>
      </c>
      <c r="T495" s="229">
        <f>SUM(T496:T522)</f>
        <v>0</v>
      </c>
      <c r="U495" s="229">
        <f>SUM(U496:U522)</f>
        <v>0</v>
      </c>
      <c r="V495" s="229">
        <f>SUM(V496:V522)</f>
        <v>0</v>
      </c>
      <c r="W495" s="49" t="s">
        <v>656</v>
      </c>
      <c r="AC495" s="414"/>
      <c r="AD495" s="471"/>
    </row>
    <row r="496" spans="1:30" s="45" customFormat="1" ht="15.6" outlineLevel="1" x14ac:dyDescent="0.3">
      <c r="A496" s="341"/>
      <c r="B496" s="662"/>
      <c r="C496" s="249"/>
      <c r="D496" s="218"/>
      <c r="E496" s="217" t="s">
        <v>574</v>
      </c>
      <c r="F496" s="217" t="s">
        <v>519</v>
      </c>
      <c r="G496" s="218"/>
      <c r="H496" s="208" t="s">
        <v>520</v>
      </c>
      <c r="I496" s="342"/>
      <c r="J496" s="342"/>
      <c r="K496" s="342"/>
      <c r="L496" s="217"/>
      <c r="M496" s="494"/>
      <c r="N496" s="535"/>
      <c r="O496" s="221"/>
      <c r="P496" s="220"/>
      <c r="Q496" s="381"/>
      <c r="R496" s="222">
        <f t="shared" ref="R496:R522" si="9">SUM(S496,T496,U496,V496)</f>
        <v>0</v>
      </c>
      <c r="S496" s="222"/>
      <c r="T496" s="222"/>
      <c r="U496" s="222"/>
      <c r="V496" s="222"/>
      <c r="AC496" s="414"/>
      <c r="AD496" s="471"/>
    </row>
    <row r="497" spans="1:30" ht="15.6" outlineLevel="1" x14ac:dyDescent="0.3">
      <c r="A497" s="341"/>
      <c r="B497" s="611"/>
      <c r="C497" s="249"/>
      <c r="D497" s="218"/>
      <c r="E497" s="217" t="s">
        <v>574</v>
      </c>
      <c r="F497" s="217" t="s">
        <v>519</v>
      </c>
      <c r="G497" s="218"/>
      <c r="H497" s="208" t="s">
        <v>520</v>
      </c>
      <c r="I497" s="342"/>
      <c r="J497" s="342"/>
      <c r="K497" s="342"/>
      <c r="L497" s="217"/>
      <c r="M497" s="494"/>
      <c r="N497" s="535"/>
      <c r="O497" s="221"/>
      <c r="P497" s="220"/>
      <c r="Q497" s="381"/>
      <c r="R497" s="222">
        <f t="shared" si="9"/>
        <v>0</v>
      </c>
      <c r="S497" s="222"/>
      <c r="T497" s="222"/>
      <c r="U497" s="222"/>
      <c r="V497" s="222"/>
    </row>
    <row r="498" spans="1:30" ht="15.6" outlineLevel="1" x14ac:dyDescent="0.3">
      <c r="A498" s="341"/>
      <c r="B498" s="611"/>
      <c r="C498" s="249"/>
      <c r="D498" s="218"/>
      <c r="E498" s="217" t="s">
        <v>574</v>
      </c>
      <c r="F498" s="217" t="s">
        <v>519</v>
      </c>
      <c r="G498" s="218"/>
      <c r="H498" s="208" t="s">
        <v>520</v>
      </c>
      <c r="I498" s="342"/>
      <c r="J498" s="342"/>
      <c r="K498" s="342"/>
      <c r="L498" s="217"/>
      <c r="M498" s="494"/>
      <c r="N498" s="535"/>
      <c r="O498" s="221"/>
      <c r="P498" s="220"/>
      <c r="Q498" s="381"/>
      <c r="R498" s="222">
        <f t="shared" si="9"/>
        <v>0</v>
      </c>
      <c r="S498" s="222"/>
      <c r="T498" s="222"/>
      <c r="U498" s="222"/>
      <c r="V498" s="222"/>
    </row>
    <row r="499" spans="1:30" ht="15.6" outlineLevel="1" x14ac:dyDescent="0.3">
      <c r="A499" s="341"/>
      <c r="B499" s="230"/>
      <c r="C499" s="249"/>
      <c r="D499" s="218"/>
      <c r="E499" s="217" t="s">
        <v>574</v>
      </c>
      <c r="F499" s="217" t="s">
        <v>519</v>
      </c>
      <c r="G499" s="218"/>
      <c r="H499" s="208" t="s">
        <v>520</v>
      </c>
      <c r="I499" s="584"/>
      <c r="J499" s="342"/>
      <c r="K499" s="342"/>
      <c r="L499" s="217"/>
      <c r="M499" s="494"/>
      <c r="N499" s="535"/>
      <c r="O499" s="221"/>
      <c r="P499" s="220"/>
      <c r="Q499" s="381"/>
      <c r="R499" s="222">
        <f>SUM(S499,T499,U499,V499)</f>
        <v>0</v>
      </c>
      <c r="S499" s="222"/>
      <c r="T499" s="222"/>
      <c r="U499" s="222"/>
      <c r="V499" s="222"/>
    </row>
    <row r="500" spans="1:30" ht="15.6" outlineLevel="1" x14ac:dyDescent="0.3">
      <c r="A500" s="341"/>
      <c r="B500" s="611"/>
      <c r="C500" s="249"/>
      <c r="D500" s="218"/>
      <c r="E500" s="217" t="s">
        <v>574</v>
      </c>
      <c r="F500" s="217" t="s">
        <v>519</v>
      </c>
      <c r="G500" s="218"/>
      <c r="H500" s="208" t="s">
        <v>520</v>
      </c>
      <c r="I500" s="342"/>
      <c r="J500" s="342"/>
      <c r="K500" s="342"/>
      <c r="L500" s="217"/>
      <c r="M500" s="494"/>
      <c r="N500" s="535"/>
      <c r="O500" s="221"/>
      <c r="P500" s="220"/>
      <c r="Q500" s="381"/>
      <c r="R500" s="222">
        <f t="shared" si="9"/>
        <v>0</v>
      </c>
      <c r="S500" s="222"/>
      <c r="T500" s="222"/>
      <c r="U500" s="222"/>
      <c r="V500" s="222"/>
    </row>
    <row r="501" spans="1:30" ht="14.25" customHeight="1" outlineLevel="1" x14ac:dyDescent="0.3">
      <c r="A501" s="341"/>
      <c r="B501" s="611"/>
      <c r="C501" s="249"/>
      <c r="D501" s="218"/>
      <c r="E501" s="217" t="s">
        <v>574</v>
      </c>
      <c r="F501" s="217" t="s">
        <v>519</v>
      </c>
      <c r="G501" s="218"/>
      <c r="H501" s="208" t="s">
        <v>520</v>
      </c>
      <c r="I501" s="342"/>
      <c r="J501" s="342"/>
      <c r="K501" s="342"/>
      <c r="L501" s="217"/>
      <c r="M501" s="494"/>
      <c r="N501" s="535"/>
      <c r="O501" s="221"/>
      <c r="P501" s="220"/>
      <c r="Q501" s="381"/>
      <c r="R501" s="222">
        <f t="shared" si="9"/>
        <v>0</v>
      </c>
      <c r="S501" s="222"/>
      <c r="T501" s="222"/>
      <c r="U501" s="222"/>
      <c r="V501" s="222"/>
    </row>
    <row r="502" spans="1:30" ht="15.6" outlineLevel="1" x14ac:dyDescent="0.3">
      <c r="A502" s="341"/>
      <c r="B502" s="611"/>
      <c r="C502" s="249"/>
      <c r="D502" s="218"/>
      <c r="E502" s="217" t="s">
        <v>574</v>
      </c>
      <c r="F502" s="217" t="s">
        <v>519</v>
      </c>
      <c r="G502" s="218"/>
      <c r="H502" s="208" t="s">
        <v>520</v>
      </c>
      <c r="I502" s="342"/>
      <c r="J502" s="342"/>
      <c r="K502" s="342"/>
      <c r="L502" s="217"/>
      <c r="M502" s="494"/>
      <c r="N502" s="535"/>
      <c r="O502" s="221"/>
      <c r="P502" s="220"/>
      <c r="Q502" s="381"/>
      <c r="R502" s="222">
        <f t="shared" si="9"/>
        <v>0</v>
      </c>
      <c r="S502" s="222"/>
      <c r="T502" s="222"/>
      <c r="U502" s="222"/>
      <c r="V502" s="222"/>
    </row>
    <row r="503" spans="1:30" ht="15.6" outlineLevel="1" x14ac:dyDescent="0.3">
      <c r="A503" s="341"/>
      <c r="B503" s="611"/>
      <c r="C503" s="249"/>
      <c r="D503" s="218"/>
      <c r="E503" s="217" t="s">
        <v>574</v>
      </c>
      <c r="F503" s="217" t="s">
        <v>519</v>
      </c>
      <c r="G503" s="218"/>
      <c r="H503" s="208" t="s">
        <v>520</v>
      </c>
      <c r="I503" s="342"/>
      <c r="J503" s="342"/>
      <c r="K503" s="342"/>
      <c r="L503" s="217"/>
      <c r="M503" s="494"/>
      <c r="N503" s="535"/>
      <c r="O503" s="221"/>
      <c r="P503" s="220"/>
      <c r="Q503" s="381"/>
      <c r="R503" s="222">
        <f t="shared" si="9"/>
        <v>0</v>
      </c>
      <c r="S503" s="222"/>
      <c r="T503" s="222"/>
      <c r="U503" s="222"/>
      <c r="V503" s="222"/>
    </row>
    <row r="504" spans="1:30" ht="15.6" outlineLevel="1" x14ac:dyDescent="0.3">
      <c r="A504" s="341"/>
      <c r="B504" s="611"/>
      <c r="C504" s="249"/>
      <c r="D504" s="218"/>
      <c r="E504" s="217" t="s">
        <v>574</v>
      </c>
      <c r="F504" s="217" t="s">
        <v>519</v>
      </c>
      <c r="G504" s="218"/>
      <c r="H504" s="208" t="s">
        <v>520</v>
      </c>
      <c r="I504" s="342"/>
      <c r="J504" s="342"/>
      <c r="K504" s="342"/>
      <c r="L504" s="217"/>
      <c r="M504" s="494"/>
      <c r="N504" s="535"/>
      <c r="O504" s="221"/>
      <c r="P504" s="220"/>
      <c r="Q504" s="381"/>
      <c r="R504" s="222">
        <f t="shared" si="9"/>
        <v>0</v>
      </c>
      <c r="S504" s="222"/>
      <c r="T504" s="222"/>
      <c r="U504" s="222"/>
      <c r="V504" s="222"/>
    </row>
    <row r="505" spans="1:30" ht="15.6" outlineLevel="1" x14ac:dyDescent="0.3">
      <c r="A505" s="341"/>
      <c r="B505" s="611"/>
      <c r="C505" s="249"/>
      <c r="D505" s="218"/>
      <c r="E505" s="217" t="s">
        <v>574</v>
      </c>
      <c r="F505" s="217" t="s">
        <v>519</v>
      </c>
      <c r="G505" s="218"/>
      <c r="H505" s="208" t="s">
        <v>520</v>
      </c>
      <c r="I505" s="342"/>
      <c r="J505" s="342"/>
      <c r="K505" s="342"/>
      <c r="L505" s="217"/>
      <c r="M505" s="494"/>
      <c r="N505" s="535"/>
      <c r="O505" s="221"/>
      <c r="P505" s="220"/>
      <c r="Q505" s="381"/>
      <c r="R505" s="222">
        <f t="shared" si="9"/>
        <v>0</v>
      </c>
      <c r="S505" s="222"/>
      <c r="T505" s="222"/>
      <c r="U505" s="222"/>
      <c r="V505" s="222"/>
    </row>
    <row r="506" spans="1:30" ht="15.6" outlineLevel="1" x14ac:dyDescent="0.3">
      <c r="A506" s="341"/>
      <c r="B506" s="611"/>
      <c r="C506" s="249"/>
      <c r="D506" s="218"/>
      <c r="E506" s="217" t="s">
        <v>574</v>
      </c>
      <c r="F506" s="217" t="s">
        <v>519</v>
      </c>
      <c r="G506" s="218"/>
      <c r="H506" s="208" t="s">
        <v>520</v>
      </c>
      <c r="I506" s="342"/>
      <c r="J506" s="342"/>
      <c r="K506" s="342"/>
      <c r="L506" s="217"/>
      <c r="M506" s="494"/>
      <c r="N506" s="535"/>
      <c r="O506" s="221"/>
      <c r="P506" s="220"/>
      <c r="Q506" s="381"/>
      <c r="R506" s="222">
        <f t="shared" si="9"/>
        <v>0</v>
      </c>
      <c r="S506" s="222"/>
      <c r="T506" s="222"/>
      <c r="U506" s="222"/>
      <c r="V506" s="222"/>
    </row>
    <row r="507" spans="1:30" ht="15.6" outlineLevel="1" x14ac:dyDescent="0.3">
      <c r="A507" s="341"/>
      <c r="B507" s="611"/>
      <c r="C507" s="249"/>
      <c r="D507" s="218"/>
      <c r="E507" s="217" t="s">
        <v>574</v>
      </c>
      <c r="F507" s="217" t="s">
        <v>519</v>
      </c>
      <c r="G507" s="218"/>
      <c r="H507" s="208" t="s">
        <v>520</v>
      </c>
      <c r="I507" s="342"/>
      <c r="J507" s="342"/>
      <c r="K507" s="342"/>
      <c r="L507" s="217"/>
      <c r="M507" s="494"/>
      <c r="N507" s="535"/>
      <c r="O507" s="221"/>
      <c r="P507" s="220"/>
      <c r="Q507" s="381"/>
      <c r="R507" s="222">
        <f t="shared" si="9"/>
        <v>0</v>
      </c>
      <c r="S507" s="222"/>
      <c r="T507" s="222"/>
      <c r="U507" s="222"/>
      <c r="V507" s="222"/>
    </row>
    <row r="508" spans="1:30" ht="15.6" outlineLevel="1" x14ac:dyDescent="0.3">
      <c r="A508" s="341"/>
      <c r="B508" s="611"/>
      <c r="C508" s="249"/>
      <c r="D508" s="218"/>
      <c r="E508" s="217" t="s">
        <v>574</v>
      </c>
      <c r="F508" s="217" t="s">
        <v>519</v>
      </c>
      <c r="G508" s="218"/>
      <c r="H508" s="208" t="s">
        <v>520</v>
      </c>
      <c r="I508" s="342"/>
      <c r="J508" s="342"/>
      <c r="K508" s="342"/>
      <c r="L508" s="217"/>
      <c r="M508" s="494"/>
      <c r="N508" s="535"/>
      <c r="O508" s="221"/>
      <c r="P508" s="220"/>
      <c r="Q508" s="381"/>
      <c r="R508" s="222">
        <f t="shared" si="9"/>
        <v>0</v>
      </c>
      <c r="S508" s="222"/>
      <c r="T508" s="222"/>
      <c r="U508" s="222"/>
      <c r="V508" s="222"/>
    </row>
    <row r="509" spans="1:30" ht="15.6" outlineLevel="1" x14ac:dyDescent="0.3">
      <c r="A509" s="341"/>
      <c r="B509" s="611"/>
      <c r="C509" s="249"/>
      <c r="D509" s="218"/>
      <c r="E509" s="217" t="s">
        <v>574</v>
      </c>
      <c r="F509" s="217" t="s">
        <v>519</v>
      </c>
      <c r="G509" s="218"/>
      <c r="H509" s="208" t="s">
        <v>520</v>
      </c>
      <c r="I509" s="342"/>
      <c r="J509" s="342"/>
      <c r="K509" s="342"/>
      <c r="L509" s="217"/>
      <c r="M509" s="494"/>
      <c r="N509" s="535"/>
      <c r="O509" s="221"/>
      <c r="P509" s="220"/>
      <c r="Q509" s="381"/>
      <c r="R509" s="222">
        <f t="shared" si="9"/>
        <v>0</v>
      </c>
      <c r="S509" s="222"/>
      <c r="T509" s="222"/>
      <c r="U509" s="222"/>
      <c r="V509" s="222"/>
    </row>
    <row r="510" spans="1:30" s="45" customFormat="1" ht="15.6" outlineLevel="1" x14ac:dyDescent="0.3">
      <c r="A510" s="341"/>
      <c r="B510" s="662"/>
      <c r="C510" s="249"/>
      <c r="D510" s="218"/>
      <c r="E510" s="217" t="s">
        <v>574</v>
      </c>
      <c r="F510" s="217" t="s">
        <v>519</v>
      </c>
      <c r="G510" s="218"/>
      <c r="H510" s="208" t="s">
        <v>520</v>
      </c>
      <c r="I510" s="342"/>
      <c r="J510" s="342"/>
      <c r="K510" s="342"/>
      <c r="L510" s="217"/>
      <c r="M510" s="494"/>
      <c r="N510" s="535"/>
      <c r="O510" s="221"/>
      <c r="P510" s="220"/>
      <c r="Q510" s="381"/>
      <c r="R510" s="222">
        <f t="shared" si="9"/>
        <v>0</v>
      </c>
      <c r="S510" s="222"/>
      <c r="T510" s="222"/>
      <c r="U510" s="222"/>
      <c r="V510" s="222"/>
      <c r="AC510" s="414"/>
      <c r="AD510" s="471"/>
    </row>
    <row r="511" spans="1:30" ht="15.6" outlineLevel="1" x14ac:dyDescent="0.3">
      <c r="A511" s="341"/>
      <c r="B511" s="230"/>
      <c r="C511" s="249"/>
      <c r="D511" s="218"/>
      <c r="E511" s="217" t="s">
        <v>574</v>
      </c>
      <c r="F511" s="217" t="s">
        <v>519</v>
      </c>
      <c r="G511" s="218"/>
      <c r="H511" s="208" t="s">
        <v>520</v>
      </c>
      <c r="I511" s="342"/>
      <c r="J511" s="342"/>
      <c r="K511" s="342"/>
      <c r="L511" s="217"/>
      <c r="M511" s="494"/>
      <c r="N511" s="535"/>
      <c r="O511" s="221"/>
      <c r="P511" s="220"/>
      <c r="Q511" s="381"/>
      <c r="R511" s="222">
        <f t="shared" si="9"/>
        <v>0</v>
      </c>
      <c r="S511" s="222"/>
      <c r="T511" s="222"/>
      <c r="U511" s="222"/>
      <c r="V511" s="222"/>
    </row>
    <row r="512" spans="1:30" ht="15.6" outlineLevel="1" x14ac:dyDescent="0.3">
      <c r="A512" s="341"/>
      <c r="B512" s="230"/>
      <c r="C512" s="249"/>
      <c r="D512" s="218"/>
      <c r="E512" s="217" t="s">
        <v>574</v>
      </c>
      <c r="F512" s="217" t="s">
        <v>519</v>
      </c>
      <c r="G512" s="218"/>
      <c r="H512" s="208" t="s">
        <v>520</v>
      </c>
      <c r="I512" s="342"/>
      <c r="J512" s="342"/>
      <c r="K512" s="342"/>
      <c r="L512" s="217"/>
      <c r="M512" s="494"/>
      <c r="N512" s="535"/>
      <c r="O512" s="221"/>
      <c r="P512" s="220"/>
      <c r="Q512" s="381"/>
      <c r="R512" s="222">
        <f t="shared" si="9"/>
        <v>0</v>
      </c>
      <c r="S512" s="222"/>
      <c r="T512" s="222"/>
      <c r="U512" s="222"/>
      <c r="V512" s="222"/>
    </row>
    <row r="513" spans="1:30" ht="15.6" outlineLevel="1" x14ac:dyDescent="0.3">
      <c r="A513" s="341"/>
      <c r="B513" s="230"/>
      <c r="C513" s="249"/>
      <c r="D513" s="218"/>
      <c r="E513" s="217" t="s">
        <v>574</v>
      </c>
      <c r="F513" s="217" t="s">
        <v>519</v>
      </c>
      <c r="G513" s="218"/>
      <c r="H513" s="208" t="s">
        <v>520</v>
      </c>
      <c r="I513" s="342"/>
      <c r="J513" s="342"/>
      <c r="K513" s="342"/>
      <c r="L513" s="217"/>
      <c r="M513" s="494"/>
      <c r="N513" s="535"/>
      <c r="O513" s="221"/>
      <c r="P513" s="220"/>
      <c r="Q513" s="381"/>
      <c r="R513" s="222">
        <f t="shared" si="9"/>
        <v>0</v>
      </c>
      <c r="S513" s="222"/>
      <c r="T513" s="222"/>
      <c r="U513" s="222"/>
      <c r="V513" s="222"/>
    </row>
    <row r="514" spans="1:30" ht="15.6" outlineLevel="1" x14ac:dyDescent="0.3">
      <c r="A514" s="341"/>
      <c r="B514" s="230"/>
      <c r="C514" s="249"/>
      <c r="D514" s="218"/>
      <c r="E514" s="217" t="s">
        <v>574</v>
      </c>
      <c r="F514" s="217" t="s">
        <v>519</v>
      </c>
      <c r="G514" s="218"/>
      <c r="H514" s="208" t="s">
        <v>520</v>
      </c>
      <c r="I514" s="342"/>
      <c r="J514" s="342"/>
      <c r="K514" s="342"/>
      <c r="L514" s="217"/>
      <c r="M514" s="494"/>
      <c r="N514" s="535"/>
      <c r="O514" s="221"/>
      <c r="P514" s="220"/>
      <c r="Q514" s="381"/>
      <c r="R514" s="222">
        <f t="shared" si="9"/>
        <v>0</v>
      </c>
      <c r="S514" s="222"/>
      <c r="T514" s="222"/>
      <c r="U514" s="222"/>
      <c r="V514" s="222"/>
    </row>
    <row r="515" spans="1:30" ht="15.6" outlineLevel="1" x14ac:dyDescent="0.3">
      <c r="A515" s="341"/>
      <c r="B515" s="230"/>
      <c r="C515" s="249"/>
      <c r="D515" s="218"/>
      <c r="E515" s="217" t="s">
        <v>574</v>
      </c>
      <c r="F515" s="217" t="s">
        <v>519</v>
      </c>
      <c r="G515" s="218"/>
      <c r="H515" s="208" t="s">
        <v>520</v>
      </c>
      <c r="I515" s="342"/>
      <c r="J515" s="342"/>
      <c r="K515" s="342"/>
      <c r="L515" s="217"/>
      <c r="M515" s="494"/>
      <c r="N515" s="535"/>
      <c r="O515" s="221"/>
      <c r="P515" s="220"/>
      <c r="Q515" s="381"/>
      <c r="R515" s="222">
        <f t="shared" si="9"/>
        <v>0</v>
      </c>
      <c r="S515" s="222"/>
      <c r="T515" s="222"/>
      <c r="U515" s="222"/>
      <c r="V515" s="222"/>
    </row>
    <row r="516" spans="1:30" ht="15.6" outlineLevel="1" x14ac:dyDescent="0.3">
      <c r="A516" s="341"/>
      <c r="B516" s="230"/>
      <c r="C516" s="249"/>
      <c r="D516" s="218"/>
      <c r="E516" s="217" t="s">
        <v>574</v>
      </c>
      <c r="F516" s="217" t="s">
        <v>519</v>
      </c>
      <c r="G516" s="218"/>
      <c r="H516" s="208" t="s">
        <v>520</v>
      </c>
      <c r="I516" s="342"/>
      <c r="J516" s="342"/>
      <c r="K516" s="342"/>
      <c r="L516" s="217"/>
      <c r="M516" s="494"/>
      <c r="N516" s="535"/>
      <c r="O516" s="221"/>
      <c r="P516" s="220"/>
      <c r="Q516" s="381"/>
      <c r="R516" s="222">
        <f t="shared" si="9"/>
        <v>0</v>
      </c>
      <c r="S516" s="222"/>
      <c r="T516" s="222"/>
      <c r="U516" s="222"/>
      <c r="V516" s="222"/>
    </row>
    <row r="517" spans="1:30" ht="15.6" outlineLevel="1" x14ac:dyDescent="0.3">
      <c r="A517" s="341"/>
      <c r="B517" s="230"/>
      <c r="C517" s="249"/>
      <c r="D517" s="218"/>
      <c r="E517" s="217" t="s">
        <v>574</v>
      </c>
      <c r="F517" s="217" t="s">
        <v>519</v>
      </c>
      <c r="G517" s="218"/>
      <c r="H517" s="208" t="s">
        <v>520</v>
      </c>
      <c r="I517" s="342"/>
      <c r="J517" s="342"/>
      <c r="K517" s="342"/>
      <c r="L517" s="217"/>
      <c r="M517" s="494"/>
      <c r="N517" s="535"/>
      <c r="O517" s="221"/>
      <c r="P517" s="220"/>
      <c r="Q517" s="381"/>
      <c r="R517" s="222">
        <f t="shared" si="9"/>
        <v>0</v>
      </c>
      <c r="S517" s="222"/>
      <c r="T517" s="222"/>
      <c r="U517" s="222"/>
      <c r="V517" s="222"/>
    </row>
    <row r="518" spans="1:30" ht="15.6" outlineLevel="1" x14ac:dyDescent="0.3">
      <c r="A518" s="341"/>
      <c r="B518" s="230"/>
      <c r="C518" s="249"/>
      <c r="D518" s="218"/>
      <c r="E518" s="217" t="s">
        <v>574</v>
      </c>
      <c r="F518" s="217" t="s">
        <v>519</v>
      </c>
      <c r="G518" s="218"/>
      <c r="H518" s="208" t="s">
        <v>520</v>
      </c>
      <c r="I518" s="342"/>
      <c r="J518" s="342"/>
      <c r="K518" s="342"/>
      <c r="L518" s="217"/>
      <c r="M518" s="494"/>
      <c r="N518" s="535"/>
      <c r="O518" s="221"/>
      <c r="P518" s="220"/>
      <c r="Q518" s="381"/>
      <c r="R518" s="222">
        <f t="shared" si="9"/>
        <v>0</v>
      </c>
      <c r="S518" s="222"/>
      <c r="T518" s="222"/>
      <c r="U518" s="222"/>
      <c r="V518" s="222"/>
    </row>
    <row r="519" spans="1:30" ht="15.6" outlineLevel="1" x14ac:dyDescent="0.3">
      <c r="A519" s="341"/>
      <c r="B519" s="230"/>
      <c r="C519" s="249"/>
      <c r="D519" s="218"/>
      <c r="E519" s="217" t="s">
        <v>574</v>
      </c>
      <c r="F519" s="217" t="s">
        <v>519</v>
      </c>
      <c r="G519" s="218"/>
      <c r="H519" s="208" t="s">
        <v>520</v>
      </c>
      <c r="I519" s="342"/>
      <c r="J519" s="342"/>
      <c r="K519" s="342"/>
      <c r="L519" s="217"/>
      <c r="M519" s="494"/>
      <c r="N519" s="535"/>
      <c r="O519" s="221"/>
      <c r="P519" s="220"/>
      <c r="Q519" s="381"/>
      <c r="R519" s="222">
        <f t="shared" si="9"/>
        <v>0</v>
      </c>
      <c r="S519" s="222"/>
      <c r="T519" s="222"/>
      <c r="U519" s="222"/>
      <c r="V519" s="222"/>
    </row>
    <row r="520" spans="1:30" ht="15.6" outlineLevel="1" x14ac:dyDescent="0.3">
      <c r="A520" s="341"/>
      <c r="B520" s="230"/>
      <c r="C520" s="249"/>
      <c r="D520" s="218"/>
      <c r="E520" s="217" t="s">
        <v>574</v>
      </c>
      <c r="F520" s="217" t="s">
        <v>519</v>
      </c>
      <c r="G520" s="218"/>
      <c r="H520" s="208" t="s">
        <v>520</v>
      </c>
      <c r="I520" s="342"/>
      <c r="J520" s="342"/>
      <c r="K520" s="342"/>
      <c r="L520" s="217"/>
      <c r="M520" s="494"/>
      <c r="N520" s="535"/>
      <c r="O520" s="221"/>
      <c r="P520" s="220"/>
      <c r="Q520" s="381"/>
      <c r="R520" s="222">
        <f t="shared" si="9"/>
        <v>0</v>
      </c>
      <c r="S520" s="222"/>
      <c r="T520" s="222"/>
      <c r="U520" s="222"/>
      <c r="V520" s="222"/>
    </row>
    <row r="521" spans="1:30" ht="15.6" outlineLevel="1" x14ac:dyDescent="0.3">
      <c r="A521" s="341"/>
      <c r="B521" s="230"/>
      <c r="C521" s="249"/>
      <c r="D521" s="218"/>
      <c r="E521" s="217" t="s">
        <v>574</v>
      </c>
      <c r="F521" s="217" t="s">
        <v>519</v>
      </c>
      <c r="G521" s="218"/>
      <c r="H521" s="208" t="s">
        <v>520</v>
      </c>
      <c r="I521" s="342"/>
      <c r="J521" s="342"/>
      <c r="K521" s="342"/>
      <c r="L521" s="217"/>
      <c r="M521" s="494"/>
      <c r="N521" s="535"/>
      <c r="O521" s="221"/>
      <c r="P521" s="220"/>
      <c r="Q521" s="381"/>
      <c r="R521" s="222">
        <f t="shared" si="9"/>
        <v>0</v>
      </c>
      <c r="S521" s="222"/>
      <c r="T521" s="222"/>
      <c r="U521" s="222"/>
      <c r="V521" s="222"/>
    </row>
    <row r="522" spans="1:30" ht="15.6" outlineLevel="1" x14ac:dyDescent="0.3">
      <c r="A522" s="341"/>
      <c r="B522" s="230"/>
      <c r="C522" s="217"/>
      <c r="D522" s="218"/>
      <c r="E522" s="217" t="s">
        <v>574</v>
      </c>
      <c r="F522" s="217" t="s">
        <v>519</v>
      </c>
      <c r="G522" s="218"/>
      <c r="H522" s="208" t="s">
        <v>520</v>
      </c>
      <c r="I522" s="342"/>
      <c r="J522" s="342"/>
      <c r="K522" s="342"/>
      <c r="L522" s="217"/>
      <c r="M522" s="494"/>
      <c r="N522" s="535"/>
      <c r="O522" s="221"/>
      <c r="P522" s="220"/>
      <c r="Q522" s="381"/>
      <c r="R522" s="222">
        <f t="shared" si="9"/>
        <v>0</v>
      </c>
      <c r="S522" s="222"/>
      <c r="T522" s="222"/>
      <c r="U522" s="222"/>
      <c r="V522" s="222"/>
    </row>
    <row r="523" spans="1:30" ht="16.2" x14ac:dyDescent="0.35">
      <c r="A523" s="339" t="s">
        <v>658</v>
      </c>
      <c r="B523" s="241"/>
      <c r="C523" s="232"/>
      <c r="D523" s="343"/>
      <c r="E523" s="340"/>
      <c r="F523" s="259"/>
      <c r="G523" s="232"/>
      <c r="H523" s="260"/>
      <c r="I523" s="258"/>
      <c r="J523" s="232"/>
      <c r="K523" s="329"/>
      <c r="L523" s="232"/>
      <c r="M523" s="495"/>
      <c r="N523" s="536"/>
      <c r="O523" s="234">
        <v>244</v>
      </c>
      <c r="P523" s="233">
        <v>310</v>
      </c>
      <c r="Q523" s="381"/>
      <c r="R523" s="229">
        <f>SUM(R524:R543)</f>
        <v>0</v>
      </c>
      <c r="S523" s="229">
        <f>SUM(S524:S543)</f>
        <v>0</v>
      </c>
      <c r="T523" s="229">
        <f>SUM(T524:T543)</f>
        <v>0</v>
      </c>
      <c r="U523" s="229">
        <f>SUM(U524:U543)</f>
        <v>0</v>
      </c>
      <c r="V523" s="229">
        <f>SUM(V524:V543)</f>
        <v>0</v>
      </c>
    </row>
    <row r="524" spans="1:30" s="45" customFormat="1" ht="15.6" outlineLevel="1" x14ac:dyDescent="0.3">
      <c r="A524" s="341"/>
      <c r="B524" s="230"/>
      <c r="C524" s="217"/>
      <c r="D524" s="218"/>
      <c r="E524" s="217" t="s">
        <v>574</v>
      </c>
      <c r="F524" s="217" t="s">
        <v>519</v>
      </c>
      <c r="G524" s="218"/>
      <c r="H524" s="208" t="s">
        <v>520</v>
      </c>
      <c r="I524" s="342"/>
      <c r="J524" s="342"/>
      <c r="K524" s="342"/>
      <c r="L524" s="217"/>
      <c r="M524" s="494"/>
      <c r="N524" s="535"/>
      <c r="O524" s="221"/>
      <c r="P524" s="220"/>
      <c r="Q524" s="381"/>
      <c r="R524" s="222">
        <f t="shared" ref="R524:R543" si="10">SUM(S524,T524,U524,V524)</f>
        <v>0</v>
      </c>
      <c r="S524" s="222"/>
      <c r="T524" s="222"/>
      <c r="U524" s="222"/>
      <c r="V524" s="222"/>
      <c r="AC524" s="414"/>
      <c r="AD524" s="471"/>
    </row>
    <row r="525" spans="1:30" s="45" customFormat="1" ht="15.6" outlineLevel="1" x14ac:dyDescent="0.3">
      <c r="A525" s="341"/>
      <c r="B525" s="230"/>
      <c r="C525" s="217"/>
      <c r="D525" s="218"/>
      <c r="E525" s="217" t="s">
        <v>574</v>
      </c>
      <c r="F525" s="217" t="s">
        <v>519</v>
      </c>
      <c r="G525" s="218"/>
      <c r="H525" s="208" t="s">
        <v>520</v>
      </c>
      <c r="I525" s="342"/>
      <c r="J525" s="342"/>
      <c r="K525" s="342"/>
      <c r="L525" s="217"/>
      <c r="M525" s="494"/>
      <c r="N525" s="535"/>
      <c r="O525" s="221"/>
      <c r="P525" s="220"/>
      <c r="Q525" s="381"/>
      <c r="R525" s="222">
        <f t="shared" ref="R525:R530" si="11">SUM(S525,T525,U525,V525)</f>
        <v>0</v>
      </c>
      <c r="S525" s="222"/>
      <c r="T525" s="222"/>
      <c r="U525" s="222"/>
      <c r="V525" s="222"/>
      <c r="AC525" s="414"/>
      <c r="AD525" s="471"/>
    </row>
    <row r="526" spans="1:30" ht="15.6" outlineLevel="1" x14ac:dyDescent="0.3">
      <c r="A526" s="341"/>
      <c r="B526" s="230"/>
      <c r="C526" s="217"/>
      <c r="D526" s="218"/>
      <c r="E526" s="217" t="s">
        <v>574</v>
      </c>
      <c r="F526" s="217" t="s">
        <v>519</v>
      </c>
      <c r="G526" s="218"/>
      <c r="H526" s="208" t="s">
        <v>520</v>
      </c>
      <c r="I526" s="342"/>
      <c r="J526" s="342"/>
      <c r="K526" s="342"/>
      <c r="L526" s="217"/>
      <c r="M526" s="494"/>
      <c r="N526" s="535"/>
      <c r="O526" s="221"/>
      <c r="P526" s="220"/>
      <c r="Q526" s="381"/>
      <c r="R526" s="222">
        <f t="shared" si="11"/>
        <v>0</v>
      </c>
      <c r="S526" s="222"/>
      <c r="T526" s="222"/>
      <c r="U526" s="222"/>
      <c r="V526" s="222"/>
    </row>
    <row r="527" spans="1:30" s="45" customFormat="1" ht="15.6" outlineLevel="1" x14ac:dyDescent="0.3">
      <c r="A527" s="341"/>
      <c r="B527" s="230"/>
      <c r="C527" s="217"/>
      <c r="D527" s="218"/>
      <c r="E527" s="217" t="s">
        <v>574</v>
      </c>
      <c r="F527" s="217" t="s">
        <v>519</v>
      </c>
      <c r="G527" s="218"/>
      <c r="H527" s="208" t="s">
        <v>520</v>
      </c>
      <c r="I527" s="342"/>
      <c r="J527" s="342"/>
      <c r="K527" s="342"/>
      <c r="L527" s="217"/>
      <c r="M527" s="494"/>
      <c r="N527" s="535"/>
      <c r="O527" s="221"/>
      <c r="P527" s="220"/>
      <c r="Q527" s="381"/>
      <c r="R527" s="222">
        <f t="shared" si="11"/>
        <v>0</v>
      </c>
      <c r="S527" s="222"/>
      <c r="T527" s="222"/>
      <c r="U527" s="222"/>
      <c r="V527" s="222"/>
      <c r="AC527" s="414"/>
      <c r="AD527" s="471"/>
    </row>
    <row r="528" spans="1:30" ht="15.6" outlineLevel="1" x14ac:dyDescent="0.3">
      <c r="A528" s="341"/>
      <c r="B528" s="230"/>
      <c r="C528" s="217"/>
      <c r="D528" s="218"/>
      <c r="E528" s="217" t="s">
        <v>574</v>
      </c>
      <c r="F528" s="217" t="s">
        <v>519</v>
      </c>
      <c r="G528" s="218"/>
      <c r="H528" s="208" t="s">
        <v>520</v>
      </c>
      <c r="I528" s="342"/>
      <c r="J528" s="342"/>
      <c r="K528" s="342"/>
      <c r="L528" s="217"/>
      <c r="M528" s="494"/>
      <c r="N528" s="535"/>
      <c r="O528" s="221"/>
      <c r="P528" s="220"/>
      <c r="Q528" s="381"/>
      <c r="R528" s="222">
        <f t="shared" si="11"/>
        <v>0</v>
      </c>
      <c r="S528" s="222"/>
      <c r="T528" s="222"/>
      <c r="U528" s="222"/>
      <c r="V528" s="222"/>
    </row>
    <row r="529" spans="1:30" ht="15.6" outlineLevel="1" x14ac:dyDescent="0.3">
      <c r="A529" s="341"/>
      <c r="B529" s="230"/>
      <c r="C529" s="217"/>
      <c r="D529" s="218"/>
      <c r="E529" s="217" t="s">
        <v>574</v>
      </c>
      <c r="F529" s="217" t="s">
        <v>519</v>
      </c>
      <c r="G529" s="218"/>
      <c r="H529" s="208" t="s">
        <v>520</v>
      </c>
      <c r="I529" s="342"/>
      <c r="J529" s="342"/>
      <c r="K529" s="342"/>
      <c r="L529" s="217"/>
      <c r="M529" s="494"/>
      <c r="N529" s="535"/>
      <c r="O529" s="221"/>
      <c r="P529" s="220"/>
      <c r="Q529" s="381"/>
      <c r="R529" s="222">
        <f t="shared" si="11"/>
        <v>0</v>
      </c>
      <c r="S529" s="222"/>
      <c r="T529" s="222"/>
      <c r="U529" s="222"/>
      <c r="V529" s="222"/>
    </row>
    <row r="530" spans="1:30" ht="15.6" outlineLevel="1" x14ac:dyDescent="0.3">
      <c r="A530" s="341"/>
      <c r="B530" s="230"/>
      <c r="C530" s="217"/>
      <c r="D530" s="218"/>
      <c r="E530" s="217" t="s">
        <v>574</v>
      </c>
      <c r="F530" s="217" t="s">
        <v>519</v>
      </c>
      <c r="G530" s="218"/>
      <c r="H530" s="208" t="s">
        <v>520</v>
      </c>
      <c r="I530" s="342"/>
      <c r="J530" s="342"/>
      <c r="K530" s="342"/>
      <c r="L530" s="217"/>
      <c r="M530" s="494"/>
      <c r="N530" s="535"/>
      <c r="O530" s="221"/>
      <c r="P530" s="220"/>
      <c r="Q530" s="381"/>
      <c r="R530" s="222">
        <f t="shared" si="11"/>
        <v>0</v>
      </c>
      <c r="S530" s="222"/>
      <c r="T530" s="222"/>
      <c r="U530" s="222"/>
      <c r="V530" s="222"/>
    </row>
    <row r="531" spans="1:30" ht="15.6" outlineLevel="1" x14ac:dyDescent="0.3">
      <c r="A531" s="341"/>
      <c r="B531" s="230"/>
      <c r="C531" s="217"/>
      <c r="D531" s="218"/>
      <c r="E531" s="217" t="s">
        <v>574</v>
      </c>
      <c r="F531" s="217" t="s">
        <v>519</v>
      </c>
      <c r="G531" s="218"/>
      <c r="H531" s="208" t="s">
        <v>520</v>
      </c>
      <c r="I531" s="342"/>
      <c r="J531" s="342"/>
      <c r="K531" s="342"/>
      <c r="L531" s="217"/>
      <c r="M531" s="494"/>
      <c r="N531" s="535"/>
      <c r="O531" s="221"/>
      <c r="P531" s="220"/>
      <c r="Q531" s="381"/>
      <c r="R531" s="222">
        <f t="shared" si="10"/>
        <v>0</v>
      </c>
      <c r="S531" s="222"/>
      <c r="T531" s="222"/>
      <c r="U531" s="222"/>
      <c r="V531" s="222"/>
    </row>
    <row r="532" spans="1:30" s="45" customFormat="1" ht="15.6" outlineLevel="1" x14ac:dyDescent="0.3">
      <c r="A532" s="341"/>
      <c r="B532" s="230"/>
      <c r="C532" s="217"/>
      <c r="D532" s="218"/>
      <c r="E532" s="217" t="s">
        <v>574</v>
      </c>
      <c r="F532" s="217" t="s">
        <v>519</v>
      </c>
      <c r="G532" s="218"/>
      <c r="H532" s="208" t="s">
        <v>520</v>
      </c>
      <c r="I532" s="584"/>
      <c r="J532" s="342"/>
      <c r="K532" s="342"/>
      <c r="L532" s="217"/>
      <c r="M532" s="494"/>
      <c r="N532" s="535"/>
      <c r="O532" s="221"/>
      <c r="P532" s="220"/>
      <c r="Q532" s="381"/>
      <c r="R532" s="222">
        <f t="shared" si="10"/>
        <v>0</v>
      </c>
      <c r="S532" s="222"/>
      <c r="T532" s="222"/>
      <c r="U532" s="222"/>
      <c r="V532" s="222"/>
      <c r="AC532" s="414"/>
      <c r="AD532" s="471"/>
    </row>
    <row r="533" spans="1:30" ht="15.6" outlineLevel="1" x14ac:dyDescent="0.3">
      <c r="A533" s="341"/>
      <c r="B533" s="230"/>
      <c r="C533" s="217"/>
      <c r="D533" s="218"/>
      <c r="E533" s="217" t="s">
        <v>574</v>
      </c>
      <c r="F533" s="217" t="s">
        <v>519</v>
      </c>
      <c r="G533" s="218"/>
      <c r="H533" s="208" t="s">
        <v>520</v>
      </c>
      <c r="I533" s="342"/>
      <c r="J533" s="342"/>
      <c r="K533" s="342"/>
      <c r="L533" s="217"/>
      <c r="M533" s="494"/>
      <c r="N533" s="535"/>
      <c r="O533" s="221"/>
      <c r="P533" s="220"/>
      <c r="Q533" s="381"/>
      <c r="R533" s="222">
        <f t="shared" si="10"/>
        <v>0</v>
      </c>
      <c r="S533" s="222"/>
      <c r="T533" s="222"/>
      <c r="U533" s="222"/>
      <c r="V533" s="222"/>
    </row>
    <row r="534" spans="1:30" s="45" customFormat="1" ht="15.6" outlineLevel="1" x14ac:dyDescent="0.3">
      <c r="A534" s="341"/>
      <c r="B534" s="230"/>
      <c r="C534" s="217"/>
      <c r="D534" s="218"/>
      <c r="E534" s="217" t="s">
        <v>574</v>
      </c>
      <c r="F534" s="217" t="s">
        <v>519</v>
      </c>
      <c r="G534" s="218"/>
      <c r="H534" s="208" t="s">
        <v>520</v>
      </c>
      <c r="I534" s="342"/>
      <c r="J534" s="342"/>
      <c r="K534" s="342"/>
      <c r="L534" s="217"/>
      <c r="M534" s="494"/>
      <c r="N534" s="535"/>
      <c r="O534" s="221"/>
      <c r="P534" s="220"/>
      <c r="Q534" s="381"/>
      <c r="R534" s="222">
        <f t="shared" si="10"/>
        <v>0</v>
      </c>
      <c r="S534" s="222"/>
      <c r="T534" s="222"/>
      <c r="U534" s="222"/>
      <c r="V534" s="222"/>
      <c r="AC534" s="414"/>
      <c r="AD534" s="471"/>
    </row>
    <row r="535" spans="1:30" ht="15.6" outlineLevel="1" x14ac:dyDescent="0.3">
      <c r="A535" s="341"/>
      <c r="B535" s="230"/>
      <c r="C535" s="217"/>
      <c r="D535" s="218"/>
      <c r="E535" s="217" t="s">
        <v>574</v>
      </c>
      <c r="F535" s="217" t="s">
        <v>519</v>
      </c>
      <c r="G535" s="218"/>
      <c r="H535" s="208" t="s">
        <v>520</v>
      </c>
      <c r="I535" s="342"/>
      <c r="J535" s="342"/>
      <c r="K535" s="342"/>
      <c r="L535" s="217"/>
      <c r="M535" s="494"/>
      <c r="N535" s="535"/>
      <c r="O535" s="221"/>
      <c r="P535" s="220"/>
      <c r="Q535" s="381"/>
      <c r="R535" s="222">
        <f t="shared" si="10"/>
        <v>0</v>
      </c>
      <c r="S535" s="222"/>
      <c r="T535" s="222"/>
      <c r="U535" s="222"/>
      <c r="V535" s="222"/>
    </row>
    <row r="536" spans="1:30" s="45" customFormat="1" ht="15.6" outlineLevel="1" x14ac:dyDescent="0.3">
      <c r="A536" s="341"/>
      <c r="B536" s="230"/>
      <c r="C536" s="217"/>
      <c r="D536" s="218"/>
      <c r="E536" s="217" t="s">
        <v>574</v>
      </c>
      <c r="F536" s="217" t="s">
        <v>519</v>
      </c>
      <c r="G536" s="218"/>
      <c r="H536" s="208" t="s">
        <v>520</v>
      </c>
      <c r="I536" s="342"/>
      <c r="J536" s="342"/>
      <c r="K536" s="342"/>
      <c r="L536" s="217"/>
      <c r="M536" s="494"/>
      <c r="N536" s="535"/>
      <c r="O536" s="221"/>
      <c r="P536" s="220"/>
      <c r="Q536" s="381"/>
      <c r="R536" s="222">
        <f t="shared" si="10"/>
        <v>0</v>
      </c>
      <c r="S536" s="222"/>
      <c r="T536" s="222"/>
      <c r="U536" s="222"/>
      <c r="V536" s="222"/>
      <c r="AC536" s="414"/>
      <c r="AD536" s="471"/>
    </row>
    <row r="537" spans="1:30" ht="15.6" outlineLevel="1" x14ac:dyDescent="0.3">
      <c r="A537" s="341"/>
      <c r="B537" s="230"/>
      <c r="C537" s="217"/>
      <c r="D537" s="218"/>
      <c r="E537" s="217" t="s">
        <v>574</v>
      </c>
      <c r="F537" s="217" t="s">
        <v>519</v>
      </c>
      <c r="G537" s="218"/>
      <c r="H537" s="208" t="s">
        <v>520</v>
      </c>
      <c r="I537" s="342"/>
      <c r="J537" s="342"/>
      <c r="K537" s="342"/>
      <c r="L537" s="217"/>
      <c r="M537" s="494"/>
      <c r="N537" s="535"/>
      <c r="O537" s="221"/>
      <c r="P537" s="220"/>
      <c r="Q537" s="381"/>
      <c r="R537" s="222">
        <f t="shared" si="10"/>
        <v>0</v>
      </c>
      <c r="S537" s="222"/>
      <c r="T537" s="222"/>
      <c r="U537" s="222"/>
      <c r="V537" s="222"/>
    </row>
    <row r="538" spans="1:30" s="45" customFormat="1" ht="15.6" outlineLevel="1" x14ac:dyDescent="0.3">
      <c r="A538" s="341"/>
      <c r="B538" s="230"/>
      <c r="C538" s="217"/>
      <c r="D538" s="218"/>
      <c r="E538" s="217" t="s">
        <v>574</v>
      </c>
      <c r="F538" s="217" t="s">
        <v>519</v>
      </c>
      <c r="G538" s="218"/>
      <c r="H538" s="208" t="s">
        <v>520</v>
      </c>
      <c r="I538" s="342"/>
      <c r="J538" s="342"/>
      <c r="K538" s="342"/>
      <c r="L538" s="217"/>
      <c r="M538" s="494"/>
      <c r="N538" s="535"/>
      <c r="O538" s="221"/>
      <c r="P538" s="220"/>
      <c r="Q538" s="381"/>
      <c r="R538" s="222">
        <f t="shared" si="10"/>
        <v>0</v>
      </c>
      <c r="S538" s="222"/>
      <c r="T538" s="222"/>
      <c r="U538" s="222"/>
      <c r="V538" s="222"/>
      <c r="AC538" s="414"/>
      <c r="AD538" s="471"/>
    </row>
    <row r="539" spans="1:30" ht="15.6" outlineLevel="1" x14ac:dyDescent="0.3">
      <c r="A539" s="341"/>
      <c r="B539" s="230"/>
      <c r="C539" s="217"/>
      <c r="D539" s="218"/>
      <c r="E539" s="217" t="s">
        <v>574</v>
      </c>
      <c r="F539" s="217" t="s">
        <v>519</v>
      </c>
      <c r="G539" s="218"/>
      <c r="H539" s="208" t="s">
        <v>520</v>
      </c>
      <c r="I539" s="342"/>
      <c r="J539" s="342"/>
      <c r="K539" s="342"/>
      <c r="L539" s="217"/>
      <c r="M539" s="494"/>
      <c r="N539" s="535"/>
      <c r="O539" s="221"/>
      <c r="P539" s="220"/>
      <c r="Q539" s="381"/>
      <c r="R539" s="222">
        <f t="shared" si="10"/>
        <v>0</v>
      </c>
      <c r="S539" s="222"/>
      <c r="T539" s="222"/>
      <c r="U539" s="222"/>
      <c r="V539" s="222"/>
    </row>
    <row r="540" spans="1:30" s="45" customFormat="1" ht="15.6" outlineLevel="1" x14ac:dyDescent="0.3">
      <c r="A540" s="341"/>
      <c r="B540" s="230"/>
      <c r="C540" s="217"/>
      <c r="D540" s="218"/>
      <c r="E540" s="217" t="s">
        <v>574</v>
      </c>
      <c r="F540" s="217" t="s">
        <v>519</v>
      </c>
      <c r="G540" s="218"/>
      <c r="H540" s="208" t="s">
        <v>520</v>
      </c>
      <c r="I540" s="342"/>
      <c r="J540" s="342"/>
      <c r="K540" s="342"/>
      <c r="L540" s="217"/>
      <c r="M540" s="494"/>
      <c r="N540" s="535"/>
      <c r="O540" s="221"/>
      <c r="P540" s="220"/>
      <c r="Q540" s="381"/>
      <c r="R540" s="222">
        <f t="shared" si="10"/>
        <v>0</v>
      </c>
      <c r="S540" s="222"/>
      <c r="T540" s="222"/>
      <c r="U540" s="222"/>
      <c r="V540" s="222"/>
      <c r="AC540" s="414"/>
      <c r="AD540" s="471"/>
    </row>
    <row r="541" spans="1:30" ht="17.25" customHeight="1" outlineLevel="1" x14ac:dyDescent="0.3">
      <c r="A541" s="341"/>
      <c r="B541" s="230"/>
      <c r="C541" s="217"/>
      <c r="D541" s="218"/>
      <c r="E541" s="217" t="s">
        <v>574</v>
      </c>
      <c r="F541" s="217" t="s">
        <v>519</v>
      </c>
      <c r="G541" s="218"/>
      <c r="H541" s="208" t="s">
        <v>520</v>
      </c>
      <c r="I541" s="342"/>
      <c r="J541" s="342"/>
      <c r="K541" s="342"/>
      <c r="L541" s="217"/>
      <c r="M541" s="494"/>
      <c r="N541" s="535"/>
      <c r="O541" s="221"/>
      <c r="P541" s="220"/>
      <c r="Q541" s="381"/>
      <c r="R541" s="222">
        <f t="shared" si="10"/>
        <v>0</v>
      </c>
      <c r="S541" s="222"/>
      <c r="T541" s="222"/>
      <c r="U541" s="222"/>
      <c r="V541" s="222"/>
    </row>
    <row r="542" spans="1:30" ht="15.6" outlineLevel="1" x14ac:dyDescent="0.3">
      <c r="A542" s="341"/>
      <c r="B542" s="230"/>
      <c r="C542" s="217"/>
      <c r="D542" s="218"/>
      <c r="E542" s="217" t="s">
        <v>574</v>
      </c>
      <c r="F542" s="217" t="s">
        <v>519</v>
      </c>
      <c r="G542" s="218"/>
      <c r="H542" s="208" t="s">
        <v>520</v>
      </c>
      <c r="I542" s="342"/>
      <c r="J542" s="342"/>
      <c r="K542" s="342"/>
      <c r="L542" s="217"/>
      <c r="M542" s="494"/>
      <c r="N542" s="535"/>
      <c r="O542" s="221"/>
      <c r="P542" s="220"/>
      <c r="Q542" s="381"/>
      <c r="R542" s="222">
        <f>SUM(S542,T542,U542,V542)</f>
        <v>0</v>
      </c>
      <c r="S542" s="222"/>
      <c r="T542" s="222"/>
      <c r="U542" s="222"/>
      <c r="V542" s="222"/>
    </row>
    <row r="543" spans="1:30" ht="15.6" outlineLevel="1" x14ac:dyDescent="0.3">
      <c r="A543" s="341"/>
      <c r="B543" s="230"/>
      <c r="C543" s="217"/>
      <c r="D543" s="218"/>
      <c r="E543" s="217" t="s">
        <v>574</v>
      </c>
      <c r="F543" s="217" t="s">
        <v>519</v>
      </c>
      <c r="G543" s="218"/>
      <c r="H543" s="208" t="s">
        <v>520</v>
      </c>
      <c r="I543" s="342"/>
      <c r="J543" s="342"/>
      <c r="K543" s="342"/>
      <c r="L543" s="217"/>
      <c r="M543" s="494"/>
      <c r="N543" s="535"/>
      <c r="O543" s="221"/>
      <c r="P543" s="220"/>
      <c r="Q543" s="381"/>
      <c r="R543" s="222">
        <f t="shared" si="10"/>
        <v>0</v>
      </c>
      <c r="S543" s="222"/>
      <c r="T543" s="222"/>
      <c r="U543" s="222"/>
      <c r="V543" s="222"/>
    </row>
    <row r="544" spans="1:30" ht="16.2" x14ac:dyDescent="0.35">
      <c r="A544" s="339" t="s">
        <v>733</v>
      </c>
      <c r="B544" s="241"/>
      <c r="C544" s="232"/>
      <c r="D544" s="343"/>
      <c r="E544" s="232"/>
      <c r="F544" s="259"/>
      <c r="G544" s="232"/>
      <c r="H544" s="260"/>
      <c r="I544" s="258"/>
      <c r="J544" s="232"/>
      <c r="K544" s="329"/>
      <c r="L544" s="340"/>
      <c r="M544" s="510"/>
      <c r="N544" s="540"/>
      <c r="O544" s="234">
        <v>244</v>
      </c>
      <c r="P544" s="233">
        <v>310</v>
      </c>
      <c r="Q544" s="381"/>
      <c r="R544" s="229">
        <f>SUM(R545:R567)</f>
        <v>0</v>
      </c>
      <c r="S544" s="229">
        <f>SUM(S545:S567)</f>
        <v>0</v>
      </c>
      <c r="T544" s="229">
        <f>SUM(T545:T567)</f>
        <v>0</v>
      </c>
      <c r="U544" s="229">
        <f>SUM(U545:U567)</f>
        <v>0</v>
      </c>
      <c r="V544" s="229">
        <f>SUM(V545:V567)</f>
        <v>0</v>
      </c>
    </row>
    <row r="545" spans="1:30" s="45" customFormat="1" ht="15.6" outlineLevel="1" x14ac:dyDescent="0.3">
      <c r="A545" s="341"/>
      <c r="B545" s="230"/>
      <c r="C545" s="217"/>
      <c r="D545" s="218"/>
      <c r="E545" s="217" t="s">
        <v>574</v>
      </c>
      <c r="F545" s="217" t="s">
        <v>519</v>
      </c>
      <c r="G545" s="218"/>
      <c r="H545" s="208" t="s">
        <v>520</v>
      </c>
      <c r="I545" s="342"/>
      <c r="J545" s="342"/>
      <c r="K545" s="342"/>
      <c r="L545" s="346"/>
      <c r="M545" s="511"/>
      <c r="N545" s="541"/>
      <c r="O545" s="221"/>
      <c r="P545" s="220"/>
      <c r="Q545" s="381"/>
      <c r="R545" s="222">
        <f t="shared" ref="R545:R567" si="12">SUM(S545,T545,U545,V545)</f>
        <v>0</v>
      </c>
      <c r="S545" s="222"/>
      <c r="T545" s="222"/>
      <c r="U545" s="222"/>
      <c r="V545" s="222"/>
      <c r="AC545" s="414"/>
      <c r="AD545" s="471"/>
    </row>
    <row r="546" spans="1:30" ht="15.6" outlineLevel="1" x14ac:dyDescent="0.3">
      <c r="A546" s="341"/>
      <c r="B546" s="230"/>
      <c r="C546" s="217"/>
      <c r="D546" s="218"/>
      <c r="E546" s="217" t="s">
        <v>574</v>
      </c>
      <c r="F546" s="217" t="s">
        <v>519</v>
      </c>
      <c r="G546" s="218"/>
      <c r="H546" s="208" t="s">
        <v>520</v>
      </c>
      <c r="I546" s="342"/>
      <c r="J546" s="342"/>
      <c r="K546" s="342"/>
      <c r="L546" s="346"/>
      <c r="M546" s="511"/>
      <c r="N546" s="541"/>
      <c r="O546" s="221"/>
      <c r="P546" s="220"/>
      <c r="Q546" s="381"/>
      <c r="R546" s="222">
        <f t="shared" si="12"/>
        <v>0</v>
      </c>
      <c r="S546" s="222"/>
      <c r="T546" s="222"/>
      <c r="U546" s="222"/>
      <c r="V546" s="222"/>
    </row>
    <row r="547" spans="1:30" s="45" customFormat="1" ht="15.6" outlineLevel="1" x14ac:dyDescent="0.3">
      <c r="A547" s="341"/>
      <c r="B547" s="230"/>
      <c r="C547" s="217"/>
      <c r="D547" s="218"/>
      <c r="E547" s="217" t="s">
        <v>574</v>
      </c>
      <c r="F547" s="217" t="s">
        <v>519</v>
      </c>
      <c r="G547" s="218"/>
      <c r="H547" s="208" t="s">
        <v>520</v>
      </c>
      <c r="I547" s="342"/>
      <c r="J547" s="342"/>
      <c r="K547" s="342"/>
      <c r="L547" s="346"/>
      <c r="M547" s="511"/>
      <c r="N547" s="541"/>
      <c r="O547" s="221"/>
      <c r="P547" s="220"/>
      <c r="Q547" s="381"/>
      <c r="R547" s="222">
        <f t="shared" si="12"/>
        <v>0</v>
      </c>
      <c r="S547" s="222"/>
      <c r="T547" s="222"/>
      <c r="U547" s="222"/>
      <c r="V547" s="222"/>
      <c r="AC547" s="414"/>
      <c r="AD547" s="471"/>
    </row>
    <row r="548" spans="1:30" ht="15.6" outlineLevel="1" x14ac:dyDescent="0.3">
      <c r="A548" s="341"/>
      <c r="B548" s="230"/>
      <c r="C548" s="217"/>
      <c r="D548" s="218"/>
      <c r="E548" s="217" t="s">
        <v>574</v>
      </c>
      <c r="F548" s="217" t="s">
        <v>519</v>
      </c>
      <c r="G548" s="218"/>
      <c r="H548" s="208" t="s">
        <v>520</v>
      </c>
      <c r="I548" s="342"/>
      <c r="J548" s="342"/>
      <c r="K548" s="342"/>
      <c r="L548" s="346"/>
      <c r="M548" s="511"/>
      <c r="N548" s="541"/>
      <c r="O548" s="221"/>
      <c r="P548" s="220"/>
      <c r="Q548" s="381"/>
      <c r="R548" s="222">
        <f t="shared" si="12"/>
        <v>0</v>
      </c>
      <c r="S548" s="222"/>
      <c r="T548" s="222"/>
      <c r="U548" s="222"/>
      <c r="V548" s="222"/>
    </row>
    <row r="549" spans="1:30" s="45" customFormat="1" ht="15.6" outlineLevel="1" x14ac:dyDescent="0.3">
      <c r="A549" s="341"/>
      <c r="B549" s="230"/>
      <c r="C549" s="217"/>
      <c r="D549" s="218"/>
      <c r="E549" s="217" t="s">
        <v>574</v>
      </c>
      <c r="F549" s="217" t="s">
        <v>519</v>
      </c>
      <c r="G549" s="218"/>
      <c r="H549" s="208" t="s">
        <v>520</v>
      </c>
      <c r="I549" s="342"/>
      <c r="J549" s="342"/>
      <c r="K549" s="342"/>
      <c r="L549" s="346"/>
      <c r="M549" s="511"/>
      <c r="N549" s="541"/>
      <c r="O549" s="221"/>
      <c r="P549" s="220"/>
      <c r="Q549" s="381"/>
      <c r="R549" s="222">
        <f t="shared" si="12"/>
        <v>0</v>
      </c>
      <c r="S549" s="222"/>
      <c r="T549" s="222"/>
      <c r="U549" s="222"/>
      <c r="V549" s="222"/>
      <c r="AC549" s="414"/>
      <c r="AD549" s="471"/>
    </row>
    <row r="550" spans="1:30" s="45" customFormat="1" ht="15.6" outlineLevel="1" x14ac:dyDescent="0.3">
      <c r="A550" s="341"/>
      <c r="B550" s="230"/>
      <c r="C550" s="217"/>
      <c r="D550" s="218"/>
      <c r="E550" s="217" t="s">
        <v>574</v>
      </c>
      <c r="F550" s="217" t="s">
        <v>519</v>
      </c>
      <c r="G550" s="218"/>
      <c r="H550" s="208" t="s">
        <v>520</v>
      </c>
      <c r="I550" s="342"/>
      <c r="J550" s="342"/>
      <c r="K550" s="342"/>
      <c r="L550" s="346"/>
      <c r="M550" s="511"/>
      <c r="N550" s="541"/>
      <c r="O550" s="221"/>
      <c r="P550" s="220"/>
      <c r="Q550" s="381"/>
      <c r="R550" s="222">
        <f t="shared" si="12"/>
        <v>0</v>
      </c>
      <c r="S550" s="222"/>
      <c r="T550" s="222"/>
      <c r="U550" s="222"/>
      <c r="V550" s="222"/>
      <c r="AC550" s="414"/>
      <c r="AD550" s="471"/>
    </row>
    <row r="551" spans="1:30" ht="15.6" outlineLevel="1" x14ac:dyDescent="0.3">
      <c r="A551" s="341"/>
      <c r="B551" s="230"/>
      <c r="C551" s="217"/>
      <c r="D551" s="218"/>
      <c r="E551" s="217" t="s">
        <v>574</v>
      </c>
      <c r="F551" s="217" t="s">
        <v>519</v>
      </c>
      <c r="G551" s="218"/>
      <c r="H551" s="208" t="s">
        <v>520</v>
      </c>
      <c r="I551" s="342"/>
      <c r="J551" s="342"/>
      <c r="K551" s="342"/>
      <c r="L551" s="346"/>
      <c r="M551" s="511"/>
      <c r="N551" s="541"/>
      <c r="O551" s="221"/>
      <c r="P551" s="220"/>
      <c r="Q551" s="381"/>
      <c r="R551" s="222">
        <f t="shared" si="12"/>
        <v>0</v>
      </c>
      <c r="S551" s="222"/>
      <c r="T551" s="222"/>
      <c r="U551" s="222"/>
      <c r="V551" s="222"/>
    </row>
    <row r="552" spans="1:30" s="45" customFormat="1" ht="15.6" outlineLevel="1" x14ac:dyDescent="0.3">
      <c r="A552" s="341"/>
      <c r="B552" s="230"/>
      <c r="C552" s="217"/>
      <c r="D552" s="218"/>
      <c r="E552" s="217" t="s">
        <v>574</v>
      </c>
      <c r="F552" s="217" t="s">
        <v>519</v>
      </c>
      <c r="G552" s="218"/>
      <c r="H552" s="208" t="s">
        <v>520</v>
      </c>
      <c r="I552" s="342"/>
      <c r="J552" s="342"/>
      <c r="K552" s="342"/>
      <c r="L552" s="346"/>
      <c r="M552" s="511"/>
      <c r="N552" s="541"/>
      <c r="O552" s="221"/>
      <c r="P552" s="220"/>
      <c r="Q552" s="381"/>
      <c r="R552" s="222">
        <f t="shared" si="12"/>
        <v>0</v>
      </c>
      <c r="S552" s="222"/>
      <c r="T552" s="222"/>
      <c r="U552" s="222"/>
      <c r="V552" s="222"/>
      <c r="AC552" s="414"/>
      <c r="AD552" s="471"/>
    </row>
    <row r="553" spans="1:30" ht="15.6" outlineLevel="1" x14ac:dyDescent="0.3">
      <c r="A553" s="341"/>
      <c r="B553" s="230"/>
      <c r="C553" s="217"/>
      <c r="D553" s="218"/>
      <c r="E553" s="217" t="s">
        <v>574</v>
      </c>
      <c r="F553" s="217" t="s">
        <v>519</v>
      </c>
      <c r="G553" s="218"/>
      <c r="H553" s="208" t="s">
        <v>520</v>
      </c>
      <c r="I553" s="342"/>
      <c r="J553" s="342"/>
      <c r="K553" s="342"/>
      <c r="L553" s="346"/>
      <c r="M553" s="511"/>
      <c r="N553" s="541"/>
      <c r="O553" s="221"/>
      <c r="P553" s="220"/>
      <c r="Q553" s="381"/>
      <c r="R553" s="222">
        <f t="shared" si="12"/>
        <v>0</v>
      </c>
      <c r="S553" s="222"/>
      <c r="T553" s="222"/>
      <c r="U553" s="222"/>
      <c r="V553" s="222"/>
    </row>
    <row r="554" spans="1:30" s="45" customFormat="1" ht="15.6" outlineLevel="1" x14ac:dyDescent="0.3">
      <c r="A554" s="341"/>
      <c r="B554" s="230"/>
      <c r="C554" s="217"/>
      <c r="D554" s="218"/>
      <c r="E554" s="217" t="s">
        <v>574</v>
      </c>
      <c r="F554" s="217" t="s">
        <v>519</v>
      </c>
      <c r="G554" s="218"/>
      <c r="H554" s="208" t="s">
        <v>520</v>
      </c>
      <c r="I554" s="342"/>
      <c r="J554" s="342"/>
      <c r="K554" s="342"/>
      <c r="L554" s="346"/>
      <c r="M554" s="511"/>
      <c r="N554" s="541"/>
      <c r="O554" s="221"/>
      <c r="P554" s="220"/>
      <c r="Q554" s="381"/>
      <c r="R554" s="222">
        <f t="shared" si="12"/>
        <v>0</v>
      </c>
      <c r="S554" s="222"/>
      <c r="T554" s="222"/>
      <c r="U554" s="222"/>
      <c r="V554" s="222"/>
      <c r="AC554" s="414"/>
      <c r="AD554" s="471"/>
    </row>
    <row r="555" spans="1:30" ht="15.6" outlineLevel="1" x14ac:dyDescent="0.3">
      <c r="A555" s="341"/>
      <c r="B555" s="230"/>
      <c r="C555" s="217"/>
      <c r="D555" s="218"/>
      <c r="E555" s="217" t="s">
        <v>574</v>
      </c>
      <c r="F555" s="217" t="s">
        <v>519</v>
      </c>
      <c r="G555" s="218"/>
      <c r="H555" s="208" t="s">
        <v>520</v>
      </c>
      <c r="I555" s="342"/>
      <c r="J555" s="342"/>
      <c r="K555" s="342"/>
      <c r="L555" s="346"/>
      <c r="M555" s="511"/>
      <c r="N555" s="541"/>
      <c r="O555" s="221"/>
      <c r="P555" s="220"/>
      <c r="Q555" s="381"/>
      <c r="R555" s="222">
        <f t="shared" si="12"/>
        <v>0</v>
      </c>
      <c r="S555" s="222"/>
      <c r="T555" s="222"/>
      <c r="U555" s="222"/>
      <c r="V555" s="222"/>
    </row>
    <row r="556" spans="1:30" s="45" customFormat="1" ht="15.6" outlineLevel="1" x14ac:dyDescent="0.3">
      <c r="A556" s="341"/>
      <c r="B556" s="230"/>
      <c r="C556" s="217"/>
      <c r="D556" s="218"/>
      <c r="E556" s="217" t="s">
        <v>574</v>
      </c>
      <c r="F556" s="217" t="s">
        <v>519</v>
      </c>
      <c r="G556" s="218"/>
      <c r="H556" s="208" t="s">
        <v>520</v>
      </c>
      <c r="I556" s="342"/>
      <c r="J556" s="342"/>
      <c r="K556" s="342"/>
      <c r="L556" s="217"/>
      <c r="M556" s="494"/>
      <c r="N556" s="535"/>
      <c r="O556" s="221"/>
      <c r="P556" s="220"/>
      <c r="Q556" s="381"/>
      <c r="R556" s="222">
        <f t="shared" si="12"/>
        <v>0</v>
      </c>
      <c r="S556" s="222"/>
      <c r="T556" s="222"/>
      <c r="U556" s="222"/>
      <c r="V556" s="222"/>
      <c r="AC556" s="414"/>
      <c r="AD556" s="471"/>
    </row>
    <row r="557" spans="1:30" ht="15.6" outlineLevel="1" x14ac:dyDescent="0.3">
      <c r="A557" s="341"/>
      <c r="B557" s="230"/>
      <c r="C557" s="217"/>
      <c r="D557" s="218"/>
      <c r="E557" s="217" t="s">
        <v>574</v>
      </c>
      <c r="F557" s="217" t="s">
        <v>519</v>
      </c>
      <c r="G557" s="218"/>
      <c r="H557" s="208" t="s">
        <v>520</v>
      </c>
      <c r="I557" s="342"/>
      <c r="J557" s="342"/>
      <c r="K557" s="342"/>
      <c r="L557" s="217"/>
      <c r="M557" s="494"/>
      <c r="N557" s="535"/>
      <c r="O557" s="221"/>
      <c r="P557" s="220"/>
      <c r="Q557" s="381"/>
      <c r="R557" s="222">
        <f t="shared" si="12"/>
        <v>0</v>
      </c>
      <c r="S557" s="222"/>
      <c r="T557" s="222"/>
      <c r="U557" s="222"/>
      <c r="V557" s="222"/>
    </row>
    <row r="558" spans="1:30" s="45" customFormat="1" ht="15.6" outlineLevel="1" x14ac:dyDescent="0.3">
      <c r="A558" s="341"/>
      <c r="B558" s="230"/>
      <c r="C558" s="217"/>
      <c r="D558" s="218"/>
      <c r="E558" s="217" t="s">
        <v>574</v>
      </c>
      <c r="F558" s="217" t="s">
        <v>519</v>
      </c>
      <c r="G558" s="218"/>
      <c r="H558" s="208" t="s">
        <v>520</v>
      </c>
      <c r="I558" s="342"/>
      <c r="J558" s="342"/>
      <c r="K558" s="342"/>
      <c r="L558" s="217"/>
      <c r="M558" s="494"/>
      <c r="N558" s="535"/>
      <c r="O558" s="221"/>
      <c r="P558" s="220"/>
      <c r="Q558" s="381"/>
      <c r="R558" s="222">
        <f t="shared" si="12"/>
        <v>0</v>
      </c>
      <c r="S558" s="222"/>
      <c r="T558" s="222"/>
      <c r="U558" s="222"/>
      <c r="V558" s="222"/>
      <c r="AC558" s="414"/>
      <c r="AD558" s="471"/>
    </row>
    <row r="559" spans="1:30" ht="15.6" outlineLevel="1" x14ac:dyDescent="0.3">
      <c r="A559" s="341"/>
      <c r="B559" s="230"/>
      <c r="C559" s="217"/>
      <c r="D559" s="218"/>
      <c r="E559" s="217" t="s">
        <v>574</v>
      </c>
      <c r="F559" s="217" t="s">
        <v>519</v>
      </c>
      <c r="G559" s="218"/>
      <c r="H559" s="208" t="s">
        <v>520</v>
      </c>
      <c r="I559" s="342"/>
      <c r="J559" s="342"/>
      <c r="K559" s="342"/>
      <c r="L559" s="346"/>
      <c r="M559" s="511"/>
      <c r="N559" s="541"/>
      <c r="O559" s="221"/>
      <c r="P559" s="220"/>
      <c r="Q559" s="381"/>
      <c r="R559" s="222">
        <f>SUM(S559,T559,U559,V559)</f>
        <v>0</v>
      </c>
      <c r="S559" s="222"/>
      <c r="T559" s="222"/>
      <c r="U559" s="222"/>
      <c r="V559" s="222"/>
    </row>
    <row r="560" spans="1:30" s="45" customFormat="1" ht="15.6" outlineLevel="1" x14ac:dyDescent="0.3">
      <c r="A560" s="341"/>
      <c r="B560" s="230"/>
      <c r="C560" s="217"/>
      <c r="D560" s="218"/>
      <c r="E560" s="217" t="s">
        <v>574</v>
      </c>
      <c r="F560" s="217" t="s">
        <v>519</v>
      </c>
      <c r="G560" s="218"/>
      <c r="H560" s="208" t="s">
        <v>520</v>
      </c>
      <c r="I560" s="342"/>
      <c r="J560" s="342"/>
      <c r="K560" s="342"/>
      <c r="L560" s="346"/>
      <c r="M560" s="511"/>
      <c r="N560" s="541"/>
      <c r="O560" s="221"/>
      <c r="P560" s="220"/>
      <c r="Q560" s="381"/>
      <c r="R560" s="222">
        <f t="shared" si="12"/>
        <v>0</v>
      </c>
      <c r="S560" s="222"/>
      <c r="T560" s="222"/>
      <c r="U560" s="222"/>
      <c r="V560" s="222"/>
      <c r="AC560" s="414"/>
      <c r="AD560" s="471"/>
    </row>
    <row r="561" spans="1:30" ht="15.6" outlineLevel="1" x14ac:dyDescent="0.3">
      <c r="A561" s="341"/>
      <c r="B561" s="230"/>
      <c r="C561" s="217"/>
      <c r="D561" s="218"/>
      <c r="E561" s="217" t="s">
        <v>574</v>
      </c>
      <c r="F561" s="217" t="s">
        <v>519</v>
      </c>
      <c r="G561" s="218"/>
      <c r="H561" s="208" t="s">
        <v>520</v>
      </c>
      <c r="I561" s="342"/>
      <c r="J561" s="342"/>
      <c r="K561" s="342"/>
      <c r="L561" s="346"/>
      <c r="M561" s="511"/>
      <c r="N561" s="541"/>
      <c r="O561" s="221"/>
      <c r="P561" s="220"/>
      <c r="Q561" s="381"/>
      <c r="R561" s="222">
        <f t="shared" si="12"/>
        <v>0</v>
      </c>
      <c r="S561" s="222"/>
      <c r="T561" s="222"/>
      <c r="U561" s="222"/>
      <c r="V561" s="222"/>
    </row>
    <row r="562" spans="1:30" s="45" customFormat="1" ht="15.6" outlineLevel="1" x14ac:dyDescent="0.3">
      <c r="A562" s="341"/>
      <c r="B562" s="230"/>
      <c r="C562" s="217"/>
      <c r="D562" s="218"/>
      <c r="E562" s="217" t="s">
        <v>574</v>
      </c>
      <c r="F562" s="217" t="s">
        <v>519</v>
      </c>
      <c r="G562" s="218"/>
      <c r="H562" s="208" t="s">
        <v>520</v>
      </c>
      <c r="I562" s="342"/>
      <c r="J562" s="342"/>
      <c r="K562" s="342"/>
      <c r="L562" s="346"/>
      <c r="M562" s="511"/>
      <c r="N562" s="541"/>
      <c r="O562" s="221"/>
      <c r="P562" s="220"/>
      <c r="Q562" s="381"/>
      <c r="R562" s="222">
        <f t="shared" si="12"/>
        <v>0</v>
      </c>
      <c r="S562" s="222"/>
      <c r="T562" s="222"/>
      <c r="U562" s="222"/>
      <c r="V562" s="222"/>
      <c r="AC562" s="414"/>
      <c r="AD562" s="471"/>
    </row>
    <row r="563" spans="1:30" ht="15.6" outlineLevel="1" x14ac:dyDescent="0.3">
      <c r="A563" s="341"/>
      <c r="B563" s="230"/>
      <c r="C563" s="217"/>
      <c r="D563" s="218"/>
      <c r="E563" s="217" t="s">
        <v>574</v>
      </c>
      <c r="F563" s="217" t="s">
        <v>519</v>
      </c>
      <c r="G563" s="218"/>
      <c r="H563" s="208" t="s">
        <v>520</v>
      </c>
      <c r="I563" s="342"/>
      <c r="J563" s="342"/>
      <c r="K563" s="342"/>
      <c r="L563" s="346"/>
      <c r="M563" s="511"/>
      <c r="N563" s="541"/>
      <c r="O563" s="221"/>
      <c r="P563" s="220"/>
      <c r="Q563" s="381"/>
      <c r="R563" s="222">
        <f t="shared" si="12"/>
        <v>0</v>
      </c>
      <c r="S563" s="222"/>
      <c r="T563" s="222"/>
      <c r="U563" s="222"/>
      <c r="V563" s="222"/>
    </row>
    <row r="564" spans="1:30" ht="15.6" outlineLevel="1" x14ac:dyDescent="0.3">
      <c r="A564" s="341"/>
      <c r="B564" s="230"/>
      <c r="C564" s="217"/>
      <c r="D564" s="218"/>
      <c r="E564" s="217" t="s">
        <v>574</v>
      </c>
      <c r="F564" s="217" t="s">
        <v>519</v>
      </c>
      <c r="G564" s="218"/>
      <c r="H564" s="208" t="s">
        <v>520</v>
      </c>
      <c r="I564" s="342"/>
      <c r="J564" s="342"/>
      <c r="K564" s="342"/>
      <c r="L564" s="346"/>
      <c r="M564" s="511"/>
      <c r="N564" s="541"/>
      <c r="O564" s="221"/>
      <c r="P564" s="220"/>
      <c r="Q564" s="381"/>
      <c r="R564" s="222">
        <f t="shared" si="12"/>
        <v>0</v>
      </c>
      <c r="S564" s="222"/>
      <c r="T564" s="222"/>
      <c r="U564" s="222"/>
      <c r="V564" s="222"/>
    </row>
    <row r="565" spans="1:30" ht="15.6" outlineLevel="1" x14ac:dyDescent="0.3">
      <c r="A565" s="341"/>
      <c r="B565" s="230"/>
      <c r="C565" s="217"/>
      <c r="D565" s="218"/>
      <c r="E565" s="217" t="s">
        <v>574</v>
      </c>
      <c r="F565" s="217" t="s">
        <v>519</v>
      </c>
      <c r="G565" s="218"/>
      <c r="H565" s="208" t="s">
        <v>520</v>
      </c>
      <c r="I565" s="342"/>
      <c r="J565" s="342"/>
      <c r="K565" s="342"/>
      <c r="L565" s="346"/>
      <c r="M565" s="511"/>
      <c r="N565" s="541"/>
      <c r="O565" s="221"/>
      <c r="P565" s="220"/>
      <c r="Q565" s="381"/>
      <c r="R565" s="222">
        <f>SUM(S565,T565,U565,V565)</f>
        <v>0</v>
      </c>
      <c r="S565" s="222"/>
      <c r="T565" s="222"/>
      <c r="U565" s="222"/>
      <c r="V565" s="222"/>
    </row>
    <row r="566" spans="1:30" ht="15.6" outlineLevel="1" x14ac:dyDescent="0.3">
      <c r="A566" s="341"/>
      <c r="B566" s="230"/>
      <c r="C566" s="217"/>
      <c r="D566" s="218"/>
      <c r="E566" s="217" t="s">
        <v>574</v>
      </c>
      <c r="F566" s="217" t="s">
        <v>519</v>
      </c>
      <c r="G566" s="218"/>
      <c r="H566" s="208" t="s">
        <v>520</v>
      </c>
      <c r="I566" s="342"/>
      <c r="J566" s="342"/>
      <c r="K566" s="342"/>
      <c r="L566" s="346"/>
      <c r="M566" s="511"/>
      <c r="N566" s="541"/>
      <c r="O566" s="221"/>
      <c r="P566" s="220"/>
      <c r="Q566" s="381"/>
      <c r="R566" s="222">
        <f>SUM(S566,T566,U566,V566)</f>
        <v>0</v>
      </c>
      <c r="S566" s="222"/>
      <c r="T566" s="222"/>
      <c r="U566" s="222"/>
      <c r="V566" s="222"/>
    </row>
    <row r="567" spans="1:30" ht="15.6" outlineLevel="1" x14ac:dyDescent="0.3">
      <c r="A567" s="341"/>
      <c r="B567" s="230"/>
      <c r="C567" s="217"/>
      <c r="D567" s="218"/>
      <c r="E567" s="217" t="s">
        <v>574</v>
      </c>
      <c r="F567" s="217" t="s">
        <v>519</v>
      </c>
      <c r="G567" s="218"/>
      <c r="H567" s="208" t="s">
        <v>520</v>
      </c>
      <c r="I567" s="342"/>
      <c r="J567" s="342"/>
      <c r="K567" s="342"/>
      <c r="L567" s="346"/>
      <c r="M567" s="511"/>
      <c r="N567" s="541"/>
      <c r="O567" s="221"/>
      <c r="P567" s="220"/>
      <c r="Q567" s="381"/>
      <c r="R567" s="222">
        <f t="shared" si="12"/>
        <v>0</v>
      </c>
      <c r="S567" s="222"/>
      <c r="T567" s="222"/>
      <c r="U567" s="222"/>
      <c r="V567" s="222"/>
    </row>
    <row r="568" spans="1:30" s="45" customFormat="1" ht="16.2" x14ac:dyDescent="0.35">
      <c r="A568" s="240" t="s">
        <v>659</v>
      </c>
      <c r="B568" s="241"/>
      <c r="C568" s="241"/>
      <c r="D568" s="241"/>
      <c r="E568" s="241"/>
      <c r="F568" s="241"/>
      <c r="G568" s="241"/>
      <c r="H568" s="286"/>
      <c r="I568" s="286"/>
      <c r="J568" s="286"/>
      <c r="K568" s="468"/>
      <c r="L568" s="241"/>
      <c r="M568" s="499"/>
      <c r="N568" s="518"/>
      <c r="O568" s="296">
        <v>244</v>
      </c>
      <c r="P568" s="297">
        <v>310</v>
      </c>
      <c r="Q568" s="384"/>
      <c r="R568" s="229">
        <f>SUM(R569,R574,R592,R593)</f>
        <v>0</v>
      </c>
      <c r="S568" s="229">
        <f>SUM(S569,S574,S592,S593)</f>
        <v>0</v>
      </c>
      <c r="T568" s="229">
        <f>SUM(T569,T574,T592,T593)</f>
        <v>0</v>
      </c>
      <c r="U568" s="229">
        <f>SUM(U569,U574,U592,U593)</f>
        <v>0</v>
      </c>
      <c r="V568" s="229">
        <f>SUM(V569,V574,V592,V593)</f>
        <v>0</v>
      </c>
      <c r="W568" s="49" t="s">
        <v>656</v>
      </c>
      <c r="AC568" s="414"/>
      <c r="AD568" s="471"/>
    </row>
    <row r="569" spans="1:30" s="45" customFormat="1" ht="16.2" x14ac:dyDescent="0.35">
      <c r="A569" s="231" t="s">
        <v>660</v>
      </c>
      <c r="B569" s="232"/>
      <c r="C569" s="232"/>
      <c r="D569" s="232"/>
      <c r="E569" s="232"/>
      <c r="F569" s="258"/>
      <c r="G569" s="259"/>
      <c r="H569" s="232"/>
      <c r="I569" s="260"/>
      <c r="J569" s="258"/>
      <c r="K569" s="232"/>
      <c r="L569" s="232"/>
      <c r="M569" s="495" t="s">
        <v>334</v>
      </c>
      <c r="N569" s="536" t="s">
        <v>838</v>
      </c>
      <c r="O569" s="234">
        <v>244</v>
      </c>
      <c r="P569" s="233">
        <v>310</v>
      </c>
      <c r="Q569" s="381"/>
      <c r="R569" s="229">
        <f>SUM(R570:R573)</f>
        <v>0</v>
      </c>
      <c r="S569" s="229">
        <f>SUM(S570:S573)</f>
        <v>0</v>
      </c>
      <c r="T569" s="229">
        <f>SUM(T570:T573)</f>
        <v>0</v>
      </c>
      <c r="U569" s="229">
        <f>SUM(U570:U573)</f>
        <v>0</v>
      </c>
      <c r="V569" s="229">
        <f>SUM(V570:V573)</f>
        <v>0</v>
      </c>
      <c r="W569" s="49" t="s">
        <v>656</v>
      </c>
      <c r="AC569" s="414"/>
      <c r="AD569" s="471"/>
    </row>
    <row r="570" spans="1:30" s="45" customFormat="1" ht="15.6" outlineLevel="1" x14ac:dyDescent="0.3">
      <c r="A570" s="345"/>
      <c r="B570" s="337"/>
      <c r="C570" s="252"/>
      <c r="D570" s="218"/>
      <c r="E570" s="217" t="s">
        <v>574</v>
      </c>
      <c r="F570" s="217" t="s">
        <v>519</v>
      </c>
      <c r="G570" s="218"/>
      <c r="H570" s="208" t="s">
        <v>520</v>
      </c>
      <c r="I570" s="217"/>
      <c r="J570" s="217"/>
      <c r="K570" s="217"/>
      <c r="L570" s="217"/>
      <c r="M570" s="494"/>
      <c r="N570" s="535"/>
      <c r="O570" s="221"/>
      <c r="P570" s="220"/>
      <c r="Q570" s="381"/>
      <c r="R570" s="222">
        <f>SUM(S570,T570,U570,V570)</f>
        <v>0</v>
      </c>
      <c r="S570" s="222"/>
      <c r="T570" s="222"/>
      <c r="U570" s="222"/>
      <c r="V570" s="222"/>
      <c r="AC570" s="414"/>
      <c r="AD570" s="471"/>
    </row>
    <row r="571" spans="1:30" ht="15.6" outlineLevel="1" x14ac:dyDescent="0.3">
      <c r="A571" s="345"/>
      <c r="B571" s="304"/>
      <c r="C571" s="252"/>
      <c r="D571" s="218"/>
      <c r="E571" s="217" t="s">
        <v>574</v>
      </c>
      <c r="F571" s="217" t="s">
        <v>519</v>
      </c>
      <c r="G571" s="218"/>
      <c r="H571" s="208" t="s">
        <v>520</v>
      </c>
      <c r="I571" s="217"/>
      <c r="J571" s="217"/>
      <c r="K571" s="217"/>
      <c r="L571" s="217"/>
      <c r="M571" s="494"/>
      <c r="N571" s="535"/>
      <c r="O571" s="221"/>
      <c r="P571" s="220"/>
      <c r="Q571" s="381"/>
      <c r="R571" s="222">
        <f>SUM(S571,T571,U571,V571)</f>
        <v>0</v>
      </c>
      <c r="S571" s="222"/>
      <c r="T571" s="222"/>
      <c r="U571" s="222"/>
      <c r="V571" s="222"/>
    </row>
    <row r="572" spans="1:30" ht="15.6" outlineLevel="1" x14ac:dyDescent="0.3">
      <c r="A572" s="345"/>
      <c r="B572" s="337"/>
      <c r="C572" s="252"/>
      <c r="D572" s="218"/>
      <c r="E572" s="217" t="s">
        <v>574</v>
      </c>
      <c r="F572" s="217" t="s">
        <v>519</v>
      </c>
      <c r="G572" s="218"/>
      <c r="H572" s="208" t="s">
        <v>520</v>
      </c>
      <c r="I572" s="217"/>
      <c r="J572" s="217"/>
      <c r="K572" s="217"/>
      <c r="L572" s="217"/>
      <c r="M572" s="494"/>
      <c r="N572" s="535"/>
      <c r="O572" s="221"/>
      <c r="P572" s="220"/>
      <c r="Q572" s="381"/>
      <c r="R572" s="222">
        <f>SUM(S572,T572,U572,V572)</f>
        <v>0</v>
      </c>
      <c r="S572" s="222"/>
      <c r="T572" s="222"/>
      <c r="U572" s="222"/>
      <c r="V572" s="222"/>
    </row>
    <row r="573" spans="1:30" ht="15.6" outlineLevel="1" x14ac:dyDescent="0.3">
      <c r="A573" s="345"/>
      <c r="B573" s="304"/>
      <c r="C573" s="252"/>
      <c r="D573" s="218"/>
      <c r="E573" s="217" t="s">
        <v>574</v>
      </c>
      <c r="F573" s="217" t="s">
        <v>519</v>
      </c>
      <c r="G573" s="218"/>
      <c r="H573" s="208" t="s">
        <v>520</v>
      </c>
      <c r="I573" s="217"/>
      <c r="J573" s="217"/>
      <c r="K573" s="217"/>
      <c r="L573" s="217"/>
      <c r="M573" s="494"/>
      <c r="N573" s="535"/>
      <c r="O573" s="221"/>
      <c r="P573" s="220"/>
      <c r="Q573" s="381"/>
      <c r="R573" s="222">
        <f>SUM(S573,T573,U573,V573)</f>
        <v>0</v>
      </c>
      <c r="S573" s="222"/>
      <c r="T573" s="222"/>
      <c r="U573" s="222"/>
      <c r="V573" s="222"/>
    </row>
    <row r="574" spans="1:30" ht="16.2" x14ac:dyDescent="0.35">
      <c r="A574" s="339" t="s">
        <v>661</v>
      </c>
      <c r="B574" s="232"/>
      <c r="C574" s="232"/>
      <c r="D574" s="241"/>
      <c r="E574" s="232"/>
      <c r="F574" s="258"/>
      <c r="G574" s="259"/>
      <c r="H574" s="232"/>
      <c r="I574" s="260"/>
      <c r="J574" s="258"/>
      <c r="K574" s="340"/>
      <c r="L574" s="232"/>
      <c r="M574" s="495"/>
      <c r="N574" s="536"/>
      <c r="O574" s="234">
        <v>244</v>
      </c>
      <c r="P574" s="233">
        <v>310</v>
      </c>
      <c r="Q574" s="381"/>
      <c r="R574" s="229">
        <f>SUM(R575:R591)</f>
        <v>0</v>
      </c>
      <c r="S574" s="229">
        <f>SUM(S575:S591)</f>
        <v>0</v>
      </c>
      <c r="T574" s="229">
        <f>SUM(T575:T591)</f>
        <v>0</v>
      </c>
      <c r="U574" s="229">
        <f>SUM(U575:U591)</f>
        <v>0</v>
      </c>
      <c r="V574" s="229">
        <f>SUM(V575:V591)</f>
        <v>0</v>
      </c>
    </row>
    <row r="575" spans="1:30" s="45" customFormat="1" ht="15.6" outlineLevel="1" x14ac:dyDescent="0.3">
      <c r="A575" s="341"/>
      <c r="B575" s="662"/>
      <c r="C575" s="252"/>
      <c r="D575" s="218"/>
      <c r="E575" s="217" t="s">
        <v>574</v>
      </c>
      <c r="F575" s="217" t="s">
        <v>519</v>
      </c>
      <c r="G575" s="218"/>
      <c r="H575" s="208" t="s">
        <v>520</v>
      </c>
      <c r="I575" s="346"/>
      <c r="J575" s="346"/>
      <c r="K575" s="346"/>
      <c r="L575" s="217"/>
      <c r="M575" s="494"/>
      <c r="N575" s="535"/>
      <c r="O575" s="221"/>
      <c r="P575" s="220"/>
      <c r="Q575" s="381"/>
      <c r="R575" s="222">
        <f t="shared" ref="R575:R591" si="13">SUM(S575,T575,U575,V575)</f>
        <v>0</v>
      </c>
      <c r="S575" s="222"/>
      <c r="T575" s="222"/>
      <c r="U575" s="222"/>
      <c r="V575" s="222"/>
      <c r="AC575" s="414"/>
      <c r="AD575" s="471"/>
    </row>
    <row r="576" spans="1:30" ht="15.6" outlineLevel="1" x14ac:dyDescent="0.3">
      <c r="A576" s="341"/>
      <c r="B576" s="611"/>
      <c r="C576" s="252"/>
      <c r="D576" s="218"/>
      <c r="E576" s="217" t="s">
        <v>574</v>
      </c>
      <c r="F576" s="217" t="s">
        <v>519</v>
      </c>
      <c r="G576" s="218"/>
      <c r="H576" s="208" t="s">
        <v>520</v>
      </c>
      <c r="I576" s="346"/>
      <c r="J576" s="346"/>
      <c r="K576" s="346"/>
      <c r="L576" s="217"/>
      <c r="M576" s="494"/>
      <c r="N576" s="535"/>
      <c r="O576" s="221"/>
      <c r="P576" s="220"/>
      <c r="Q576" s="381"/>
      <c r="R576" s="222">
        <f t="shared" si="13"/>
        <v>0</v>
      </c>
      <c r="S576" s="222"/>
      <c r="T576" s="222"/>
      <c r="U576" s="222"/>
      <c r="V576" s="222"/>
    </row>
    <row r="577" spans="1:22" ht="15.6" outlineLevel="1" x14ac:dyDescent="0.3">
      <c r="A577" s="341"/>
      <c r="B577" s="611"/>
      <c r="C577" s="252"/>
      <c r="D577" s="218"/>
      <c r="E577" s="217" t="s">
        <v>574</v>
      </c>
      <c r="F577" s="217" t="s">
        <v>519</v>
      </c>
      <c r="G577" s="218"/>
      <c r="H577" s="208" t="s">
        <v>520</v>
      </c>
      <c r="I577" s="346"/>
      <c r="J577" s="346"/>
      <c r="K577" s="346"/>
      <c r="L577" s="217"/>
      <c r="M577" s="494"/>
      <c r="N577" s="535"/>
      <c r="O577" s="221"/>
      <c r="P577" s="220"/>
      <c r="Q577" s="381"/>
      <c r="R577" s="222">
        <f t="shared" si="13"/>
        <v>0</v>
      </c>
      <c r="S577" s="222"/>
      <c r="T577" s="222"/>
      <c r="U577" s="222"/>
      <c r="V577" s="222"/>
    </row>
    <row r="578" spans="1:22" ht="15.6" outlineLevel="1" x14ac:dyDescent="0.3">
      <c r="A578" s="341"/>
      <c r="B578" s="611"/>
      <c r="C578" s="252"/>
      <c r="D578" s="218"/>
      <c r="E578" s="217" t="s">
        <v>574</v>
      </c>
      <c r="F578" s="217" t="s">
        <v>519</v>
      </c>
      <c r="G578" s="218"/>
      <c r="H578" s="208" t="s">
        <v>520</v>
      </c>
      <c r="I578" s="346"/>
      <c r="J578" s="346"/>
      <c r="K578" s="346"/>
      <c r="L578" s="217"/>
      <c r="M578" s="494"/>
      <c r="N578" s="535"/>
      <c r="O578" s="221"/>
      <c r="P578" s="220"/>
      <c r="Q578" s="381"/>
      <c r="R578" s="222">
        <f t="shared" si="13"/>
        <v>0</v>
      </c>
      <c r="S578" s="222"/>
      <c r="T578" s="222"/>
      <c r="U578" s="222"/>
      <c r="V578" s="222"/>
    </row>
    <row r="579" spans="1:22" ht="15.6" outlineLevel="1" x14ac:dyDescent="0.3">
      <c r="A579" s="341"/>
      <c r="B579" s="611"/>
      <c r="C579" s="252"/>
      <c r="D579" s="218"/>
      <c r="E579" s="217" t="s">
        <v>574</v>
      </c>
      <c r="F579" s="217" t="s">
        <v>519</v>
      </c>
      <c r="G579" s="218"/>
      <c r="H579" s="208" t="s">
        <v>520</v>
      </c>
      <c r="I579" s="346"/>
      <c r="J579" s="346"/>
      <c r="K579" s="346"/>
      <c r="L579" s="217"/>
      <c r="M579" s="494"/>
      <c r="N579" s="535"/>
      <c r="O579" s="221"/>
      <c r="P579" s="220"/>
      <c r="Q579" s="381"/>
      <c r="R579" s="222">
        <f t="shared" si="13"/>
        <v>0</v>
      </c>
      <c r="S579" s="222"/>
      <c r="T579" s="222"/>
      <c r="U579" s="222"/>
      <c r="V579" s="222"/>
    </row>
    <row r="580" spans="1:22" ht="15.6" outlineLevel="1" x14ac:dyDescent="0.3">
      <c r="A580" s="341"/>
      <c r="B580" s="611"/>
      <c r="C580" s="252"/>
      <c r="D580" s="218"/>
      <c r="E580" s="217" t="s">
        <v>574</v>
      </c>
      <c r="F580" s="217" t="s">
        <v>519</v>
      </c>
      <c r="G580" s="218"/>
      <c r="H580" s="208" t="s">
        <v>520</v>
      </c>
      <c r="I580" s="346"/>
      <c r="J580" s="346"/>
      <c r="K580" s="346"/>
      <c r="L580" s="217"/>
      <c r="M580" s="494"/>
      <c r="N580" s="535"/>
      <c r="O580" s="221"/>
      <c r="P580" s="220"/>
      <c r="Q580" s="381"/>
      <c r="R580" s="222">
        <f t="shared" si="13"/>
        <v>0</v>
      </c>
      <c r="S580" s="222"/>
      <c r="T580" s="222"/>
      <c r="U580" s="222"/>
      <c r="V580" s="222"/>
    </row>
    <row r="581" spans="1:22" ht="15.6" outlineLevel="1" x14ac:dyDescent="0.3">
      <c r="A581" s="341"/>
      <c r="B581" s="611"/>
      <c r="C581" s="252"/>
      <c r="D581" s="218"/>
      <c r="E581" s="217" t="s">
        <v>574</v>
      </c>
      <c r="F581" s="217" t="s">
        <v>519</v>
      </c>
      <c r="G581" s="218"/>
      <c r="H581" s="208" t="s">
        <v>520</v>
      </c>
      <c r="I581" s="346"/>
      <c r="J581" s="346"/>
      <c r="K581" s="346"/>
      <c r="L581" s="217"/>
      <c r="M581" s="494"/>
      <c r="N581" s="535"/>
      <c r="O581" s="221"/>
      <c r="P581" s="220"/>
      <c r="Q581" s="381"/>
      <c r="R581" s="222">
        <f t="shared" si="13"/>
        <v>0</v>
      </c>
      <c r="S581" s="222"/>
      <c r="T581" s="222"/>
      <c r="U581" s="222"/>
      <c r="V581" s="222"/>
    </row>
    <row r="582" spans="1:22" ht="15.6" outlineLevel="1" x14ac:dyDescent="0.3">
      <c r="A582" s="341"/>
      <c r="B582" s="611"/>
      <c r="C582" s="252"/>
      <c r="D582" s="218"/>
      <c r="E582" s="217" t="s">
        <v>574</v>
      </c>
      <c r="F582" s="217" t="s">
        <v>519</v>
      </c>
      <c r="G582" s="218"/>
      <c r="H582" s="208" t="s">
        <v>520</v>
      </c>
      <c r="I582" s="346"/>
      <c r="J582" s="346"/>
      <c r="K582" s="346"/>
      <c r="L582" s="217"/>
      <c r="M582" s="494"/>
      <c r="N582" s="535"/>
      <c r="O582" s="221"/>
      <c r="P582" s="220"/>
      <c r="Q582" s="381"/>
      <c r="R582" s="222">
        <f t="shared" si="13"/>
        <v>0</v>
      </c>
      <c r="S582" s="222"/>
      <c r="T582" s="222"/>
      <c r="U582" s="222"/>
      <c r="V582" s="222"/>
    </row>
    <row r="583" spans="1:22" ht="15.6" outlineLevel="1" x14ac:dyDescent="0.3">
      <c r="A583" s="341"/>
      <c r="B583" s="611"/>
      <c r="C583" s="252"/>
      <c r="D583" s="218"/>
      <c r="E583" s="217" t="s">
        <v>574</v>
      </c>
      <c r="F583" s="217" t="s">
        <v>519</v>
      </c>
      <c r="G583" s="218"/>
      <c r="H583" s="208" t="s">
        <v>520</v>
      </c>
      <c r="I583" s="346"/>
      <c r="J583" s="346"/>
      <c r="K583" s="346"/>
      <c r="L583" s="217"/>
      <c r="M583" s="494"/>
      <c r="N583" s="535"/>
      <c r="O583" s="221"/>
      <c r="P583" s="220"/>
      <c r="Q583" s="381"/>
      <c r="R583" s="222">
        <f t="shared" si="13"/>
        <v>0</v>
      </c>
      <c r="S583" s="222"/>
      <c r="T583" s="222"/>
      <c r="U583" s="222"/>
      <c r="V583" s="222"/>
    </row>
    <row r="584" spans="1:22" ht="15.6" outlineLevel="1" x14ac:dyDescent="0.3">
      <c r="A584" s="216"/>
      <c r="B584" s="611"/>
      <c r="C584" s="252"/>
      <c r="D584" s="218"/>
      <c r="E584" s="217" t="s">
        <v>574</v>
      </c>
      <c r="F584" s="217" t="s">
        <v>519</v>
      </c>
      <c r="G584" s="218"/>
      <c r="H584" s="208" t="s">
        <v>520</v>
      </c>
      <c r="I584" s="217"/>
      <c r="J584" s="238"/>
      <c r="K584" s="217"/>
      <c r="L584" s="217"/>
      <c r="M584" s="494"/>
      <c r="N584" s="535"/>
      <c r="O584" s="221"/>
      <c r="P584" s="220"/>
      <c r="Q584" s="381"/>
      <c r="R584" s="222">
        <f t="shared" si="13"/>
        <v>0</v>
      </c>
      <c r="S584" s="222"/>
      <c r="T584" s="222"/>
      <c r="U584" s="222"/>
      <c r="V584" s="222"/>
    </row>
    <row r="585" spans="1:22" ht="15.6" outlineLevel="1" x14ac:dyDescent="0.3">
      <c r="A585" s="216"/>
      <c r="B585" s="611"/>
      <c r="C585" s="252"/>
      <c r="D585" s="218"/>
      <c r="E585" s="217" t="s">
        <v>574</v>
      </c>
      <c r="F585" s="217" t="s">
        <v>519</v>
      </c>
      <c r="G585" s="218"/>
      <c r="H585" s="208" t="s">
        <v>520</v>
      </c>
      <c r="I585" s="217"/>
      <c r="J585" s="238"/>
      <c r="K585" s="217"/>
      <c r="L585" s="217"/>
      <c r="M585" s="494"/>
      <c r="N585" s="535"/>
      <c r="O585" s="221"/>
      <c r="P585" s="220"/>
      <c r="Q585" s="381"/>
      <c r="R585" s="222">
        <f t="shared" si="13"/>
        <v>0</v>
      </c>
      <c r="S585" s="222"/>
      <c r="T585" s="222"/>
      <c r="U585" s="222"/>
      <c r="V585" s="222"/>
    </row>
    <row r="586" spans="1:22" ht="15.6" outlineLevel="1" x14ac:dyDescent="0.3">
      <c r="A586" s="341"/>
      <c r="B586" s="611"/>
      <c r="C586" s="252"/>
      <c r="D586" s="218"/>
      <c r="E586" s="217" t="s">
        <v>574</v>
      </c>
      <c r="F586" s="217" t="s">
        <v>519</v>
      </c>
      <c r="G586" s="218"/>
      <c r="H586" s="208" t="s">
        <v>520</v>
      </c>
      <c r="I586" s="346"/>
      <c r="J586" s="346"/>
      <c r="K586" s="346"/>
      <c r="L586" s="217"/>
      <c r="M586" s="494"/>
      <c r="N586" s="535"/>
      <c r="O586" s="221"/>
      <c r="P586" s="220"/>
      <c r="Q586" s="381"/>
      <c r="R586" s="222">
        <f t="shared" si="13"/>
        <v>0</v>
      </c>
      <c r="S586" s="222"/>
      <c r="T586" s="222"/>
      <c r="U586" s="222"/>
      <c r="V586" s="222"/>
    </row>
    <row r="587" spans="1:22" ht="15.6" outlineLevel="1" x14ac:dyDescent="0.3">
      <c r="A587" s="341"/>
      <c r="B587" s="353"/>
      <c r="C587" s="252"/>
      <c r="D587" s="218"/>
      <c r="E587" s="217" t="s">
        <v>574</v>
      </c>
      <c r="F587" s="217" t="s">
        <v>519</v>
      </c>
      <c r="G587" s="218"/>
      <c r="H587" s="208" t="s">
        <v>520</v>
      </c>
      <c r="I587" s="346"/>
      <c r="J587" s="346"/>
      <c r="K587" s="346"/>
      <c r="L587" s="217"/>
      <c r="M587" s="494"/>
      <c r="N587" s="535"/>
      <c r="O587" s="221"/>
      <c r="P587" s="220"/>
      <c r="Q587" s="381"/>
      <c r="R587" s="222">
        <f>SUM(S587,T587,U587,V587)</f>
        <v>0</v>
      </c>
      <c r="S587" s="222"/>
      <c r="T587" s="222"/>
      <c r="U587" s="222"/>
      <c r="V587" s="222"/>
    </row>
    <row r="588" spans="1:22" ht="15.6" outlineLevel="1" x14ac:dyDescent="0.3">
      <c r="A588" s="341"/>
      <c r="B588" s="353"/>
      <c r="C588" s="252"/>
      <c r="D588" s="218"/>
      <c r="E588" s="217" t="s">
        <v>574</v>
      </c>
      <c r="F588" s="217" t="s">
        <v>519</v>
      </c>
      <c r="G588" s="218"/>
      <c r="H588" s="208" t="s">
        <v>520</v>
      </c>
      <c r="I588" s="346"/>
      <c r="J588" s="346"/>
      <c r="K588" s="346"/>
      <c r="L588" s="217"/>
      <c r="M588" s="494"/>
      <c r="N588" s="535"/>
      <c r="O588" s="221"/>
      <c r="P588" s="220"/>
      <c r="Q588" s="381"/>
      <c r="R588" s="222">
        <f>SUM(S588,T588,U588,V588)</f>
        <v>0</v>
      </c>
      <c r="S588" s="222"/>
      <c r="T588" s="222"/>
      <c r="U588" s="222"/>
      <c r="V588" s="222"/>
    </row>
    <row r="589" spans="1:22" ht="15.6" outlineLevel="1" x14ac:dyDescent="0.3">
      <c r="A589" s="341"/>
      <c r="B589" s="353"/>
      <c r="C589" s="252"/>
      <c r="D589" s="218"/>
      <c r="E589" s="217" t="s">
        <v>574</v>
      </c>
      <c r="F589" s="217" t="s">
        <v>519</v>
      </c>
      <c r="G589" s="218"/>
      <c r="H589" s="208" t="s">
        <v>520</v>
      </c>
      <c r="I589" s="346"/>
      <c r="J589" s="346"/>
      <c r="K589" s="346"/>
      <c r="L589" s="217"/>
      <c r="M589" s="494"/>
      <c r="N589" s="535"/>
      <c r="O589" s="221"/>
      <c r="P589" s="220"/>
      <c r="Q589" s="381"/>
      <c r="R589" s="222">
        <f>SUM(S589,T589,U589,V589)</f>
        <v>0</v>
      </c>
      <c r="S589" s="222"/>
      <c r="T589" s="222"/>
      <c r="U589" s="222"/>
      <c r="V589" s="222"/>
    </row>
    <row r="590" spans="1:22" ht="15.6" outlineLevel="1" x14ac:dyDescent="0.3">
      <c r="A590" s="341"/>
      <c r="B590" s="353"/>
      <c r="C590" s="252"/>
      <c r="D590" s="218"/>
      <c r="E590" s="217" t="s">
        <v>574</v>
      </c>
      <c r="F590" s="217" t="s">
        <v>519</v>
      </c>
      <c r="G590" s="218"/>
      <c r="H590" s="208" t="s">
        <v>520</v>
      </c>
      <c r="I590" s="346"/>
      <c r="J590" s="346"/>
      <c r="K590" s="346"/>
      <c r="L590" s="217"/>
      <c r="M590" s="494"/>
      <c r="N590" s="535"/>
      <c r="O590" s="221"/>
      <c r="P590" s="220"/>
      <c r="Q590" s="381"/>
      <c r="R590" s="222">
        <f>SUM(S590,T590,U590,V590)</f>
        <v>0</v>
      </c>
      <c r="S590" s="222"/>
      <c r="T590" s="222"/>
      <c r="U590" s="222"/>
      <c r="V590" s="222"/>
    </row>
    <row r="591" spans="1:22" ht="15.6" outlineLevel="1" x14ac:dyDescent="0.3">
      <c r="A591" s="341"/>
      <c r="B591" s="353"/>
      <c r="C591" s="252"/>
      <c r="D591" s="218"/>
      <c r="E591" s="217" t="s">
        <v>574</v>
      </c>
      <c r="F591" s="217" t="s">
        <v>519</v>
      </c>
      <c r="G591" s="218"/>
      <c r="H591" s="208" t="s">
        <v>520</v>
      </c>
      <c r="I591" s="346"/>
      <c r="J591" s="346"/>
      <c r="K591" s="346"/>
      <c r="L591" s="217"/>
      <c r="M591" s="494"/>
      <c r="N591" s="535"/>
      <c r="O591" s="221"/>
      <c r="P591" s="220"/>
      <c r="Q591" s="381"/>
      <c r="R591" s="222">
        <f t="shared" si="13"/>
        <v>0</v>
      </c>
      <c r="S591" s="222"/>
      <c r="T591" s="222"/>
      <c r="U591" s="222"/>
      <c r="V591" s="222"/>
    </row>
    <row r="592" spans="1:22" ht="16.2" x14ac:dyDescent="0.35">
      <c r="A592" s="339" t="s">
        <v>887</v>
      </c>
      <c r="B592" s="232"/>
      <c r="C592" s="232"/>
      <c r="D592" s="218"/>
      <c r="E592" s="217" t="s">
        <v>574</v>
      </c>
      <c r="F592" s="217" t="s">
        <v>519</v>
      </c>
      <c r="G592" s="218"/>
      <c r="H592" s="208" t="s">
        <v>520</v>
      </c>
      <c r="I592" s="260"/>
      <c r="J592" s="258"/>
      <c r="K592" s="329"/>
      <c r="L592" s="232"/>
      <c r="M592" s="495"/>
      <c r="N592" s="536"/>
      <c r="O592" s="234">
        <v>244</v>
      </c>
      <c r="P592" s="233">
        <v>310</v>
      </c>
      <c r="Q592" s="381"/>
      <c r="R592" s="229">
        <f>SUM(S592,T592,U592,V592)</f>
        <v>0</v>
      </c>
      <c r="S592" s="229"/>
      <c r="T592" s="229"/>
      <c r="U592" s="229"/>
      <c r="V592" s="229"/>
    </row>
    <row r="593" spans="1:30" s="45" customFormat="1" ht="16.2" x14ac:dyDescent="0.35">
      <c r="A593" s="339" t="s">
        <v>662</v>
      </c>
      <c r="B593" s="294"/>
      <c r="C593" s="294"/>
      <c r="D593" s="218"/>
      <c r="E593" s="217" t="s">
        <v>574</v>
      </c>
      <c r="F593" s="217" t="s">
        <v>519</v>
      </c>
      <c r="G593" s="218"/>
      <c r="H593" s="208" t="s">
        <v>520</v>
      </c>
      <c r="I593" s="218"/>
      <c r="J593" s="208" t="s">
        <v>520</v>
      </c>
      <c r="K593" s="218"/>
      <c r="L593" s="208" t="s">
        <v>520</v>
      </c>
      <c r="M593" s="495"/>
      <c r="N593" s="536"/>
      <c r="O593" s="234">
        <v>244</v>
      </c>
      <c r="P593" s="233">
        <v>310</v>
      </c>
      <c r="Q593" s="381"/>
      <c r="R593" s="229">
        <f>SUM(S593,T593,U593,V593)</f>
        <v>0</v>
      </c>
      <c r="S593" s="229"/>
      <c r="T593" s="229"/>
      <c r="U593" s="229"/>
      <c r="V593" s="229"/>
      <c r="W593" s="49" t="s">
        <v>656</v>
      </c>
      <c r="AC593" s="414"/>
      <c r="AD593" s="471"/>
    </row>
    <row r="594" spans="1:30" s="45" customFormat="1" ht="15.75" customHeight="1" x14ac:dyDescent="0.35">
      <c r="A594" s="241" t="s">
        <v>846</v>
      </c>
      <c r="B594" s="422"/>
      <c r="C594" s="422"/>
      <c r="D594" s="259"/>
      <c r="E594" s="217"/>
      <c r="F594" s="280"/>
      <c r="G594" s="259"/>
      <c r="H594" s="208"/>
      <c r="I594" s="260"/>
      <c r="J594" s="258"/>
      <c r="K594" s="422"/>
      <c r="L594" s="422"/>
      <c r="M594" s="516"/>
      <c r="N594" s="545"/>
      <c r="O594" s="421">
        <v>244</v>
      </c>
      <c r="P594" s="421">
        <v>347</v>
      </c>
      <c r="Q594" s="424"/>
      <c r="R594" s="229">
        <f>SUM(R595:R617)</f>
        <v>0</v>
      </c>
      <c r="S594" s="229">
        <f>SUM(S595:S617)</f>
        <v>0</v>
      </c>
      <c r="T594" s="229">
        <f>SUM(T595:T617)</f>
        <v>0</v>
      </c>
      <c r="U594" s="229">
        <f>SUM(U595:U617)</f>
        <v>0</v>
      </c>
      <c r="V594" s="229">
        <f>SUM(V595:V617)</f>
        <v>0</v>
      </c>
      <c r="AC594" s="414"/>
      <c r="AD594" s="471"/>
    </row>
    <row r="595" spans="1:30" s="45" customFormat="1" ht="15.75" customHeight="1" outlineLevel="1" x14ac:dyDescent="0.35">
      <c r="A595" s="241"/>
      <c r="B595" s="663"/>
      <c r="C595" s="599"/>
      <c r="D595" s="218"/>
      <c r="E595" s="217" t="s">
        <v>574</v>
      </c>
      <c r="F595" s="280" t="s">
        <v>519</v>
      </c>
      <c r="G595" s="218"/>
      <c r="H595" s="208" t="s">
        <v>520</v>
      </c>
      <c r="I595" s="260"/>
      <c r="J595" s="258"/>
      <c r="K595" s="422"/>
      <c r="L595" s="422"/>
      <c r="M595" s="516"/>
      <c r="N595" s="545"/>
      <c r="O595" s="421"/>
      <c r="P595" s="421"/>
      <c r="Q595" s="424"/>
      <c r="R595" s="222">
        <f>SUM(S595,T595,U595,V595)</f>
        <v>0</v>
      </c>
      <c r="S595" s="222"/>
      <c r="T595" s="222"/>
      <c r="U595" s="222"/>
      <c r="V595" s="222"/>
      <c r="AC595" s="414"/>
      <c r="AD595" s="471"/>
    </row>
    <row r="596" spans="1:30" s="45" customFormat="1" ht="15.75" customHeight="1" outlineLevel="1" x14ac:dyDescent="0.35">
      <c r="A596" s="241"/>
      <c r="B596" s="663"/>
      <c r="C596" s="599"/>
      <c r="D596" s="218"/>
      <c r="E596" s="217" t="s">
        <v>574</v>
      </c>
      <c r="F596" s="280" t="s">
        <v>519</v>
      </c>
      <c r="G596" s="218"/>
      <c r="H596" s="208" t="s">
        <v>520</v>
      </c>
      <c r="I596" s="260"/>
      <c r="J596" s="258"/>
      <c r="K596" s="422"/>
      <c r="L596" s="422"/>
      <c r="M596" s="516"/>
      <c r="N596" s="545"/>
      <c r="O596" s="421"/>
      <c r="P596" s="421"/>
      <c r="Q596" s="424"/>
      <c r="R596" s="222">
        <f t="shared" ref="R596:R606" si="14">SUM(S596,T596,U596,V596)</f>
        <v>0</v>
      </c>
      <c r="S596" s="222"/>
      <c r="T596" s="222"/>
      <c r="U596" s="222"/>
      <c r="V596" s="222"/>
      <c r="AC596" s="414"/>
      <c r="AD596" s="471"/>
    </row>
    <row r="597" spans="1:30" s="45" customFormat="1" ht="15.75" customHeight="1" outlineLevel="1" x14ac:dyDescent="0.35">
      <c r="A597" s="241"/>
      <c r="B597" s="663"/>
      <c r="C597" s="599"/>
      <c r="D597" s="218"/>
      <c r="E597" s="217" t="s">
        <v>574</v>
      </c>
      <c r="F597" s="280" t="s">
        <v>519</v>
      </c>
      <c r="G597" s="218"/>
      <c r="H597" s="208" t="s">
        <v>520</v>
      </c>
      <c r="I597" s="260"/>
      <c r="J597" s="258"/>
      <c r="K597" s="422"/>
      <c r="L597" s="422"/>
      <c r="M597" s="516"/>
      <c r="N597" s="594"/>
      <c r="O597" s="421"/>
      <c r="P597" s="597"/>
      <c r="Q597" s="424"/>
      <c r="R597" s="222">
        <f t="shared" si="14"/>
        <v>0</v>
      </c>
      <c r="S597" s="222"/>
      <c r="T597" s="222"/>
      <c r="U597" s="222"/>
      <c r="V597" s="222"/>
      <c r="AC597" s="414"/>
      <c r="AD597" s="471"/>
    </row>
    <row r="598" spans="1:30" s="45" customFormat="1" ht="16.2" outlineLevel="1" x14ac:dyDescent="0.35">
      <c r="A598" s="241"/>
      <c r="B598" s="663"/>
      <c r="C598" s="599"/>
      <c r="D598" s="218"/>
      <c r="E598" s="217" t="s">
        <v>574</v>
      </c>
      <c r="F598" s="280" t="s">
        <v>519</v>
      </c>
      <c r="G598" s="218"/>
      <c r="H598" s="208" t="s">
        <v>520</v>
      </c>
      <c r="I598" s="260"/>
      <c r="J598" s="258"/>
      <c r="K598" s="422"/>
      <c r="L598" s="422"/>
      <c r="M598" s="516"/>
      <c r="N598" s="594"/>
      <c r="O598" s="421"/>
      <c r="P598" s="595"/>
      <c r="Q598" s="596"/>
      <c r="R598" s="598">
        <f t="shared" si="14"/>
        <v>0</v>
      </c>
      <c r="S598" s="222"/>
      <c r="T598" s="222"/>
      <c r="U598" s="222"/>
      <c r="V598" s="222"/>
      <c r="AC598" s="414"/>
      <c r="AD598" s="471"/>
    </row>
    <row r="599" spans="1:30" s="45" customFormat="1" ht="15.75" customHeight="1" outlineLevel="1" x14ac:dyDescent="0.35">
      <c r="A599" s="241"/>
      <c r="B599" s="663"/>
      <c r="C599" s="599"/>
      <c r="D599" s="218"/>
      <c r="E599" s="217" t="s">
        <v>574</v>
      </c>
      <c r="F599" s="280" t="s">
        <v>519</v>
      </c>
      <c r="G599" s="218"/>
      <c r="H599" s="208" t="s">
        <v>520</v>
      </c>
      <c r="I599" s="260"/>
      <c r="J599" s="258"/>
      <c r="K599" s="422"/>
      <c r="L599" s="422"/>
      <c r="M599" s="516"/>
      <c r="N599" s="545"/>
      <c r="O599" s="421"/>
      <c r="P599" s="421"/>
      <c r="Q599" s="424"/>
      <c r="R599" s="222">
        <f t="shared" si="14"/>
        <v>0</v>
      </c>
      <c r="S599" s="222"/>
      <c r="T599" s="222"/>
      <c r="U599" s="222"/>
      <c r="V599" s="222"/>
      <c r="AC599" s="414"/>
      <c r="AD599" s="471"/>
    </row>
    <row r="600" spans="1:30" s="45" customFormat="1" ht="15.75" customHeight="1" outlineLevel="1" x14ac:dyDescent="0.35">
      <c r="A600" s="241"/>
      <c r="B600" s="663"/>
      <c r="C600" s="599"/>
      <c r="D600" s="218"/>
      <c r="E600" s="217" t="s">
        <v>574</v>
      </c>
      <c r="F600" s="280" t="s">
        <v>519</v>
      </c>
      <c r="G600" s="218"/>
      <c r="H600" s="208" t="s">
        <v>520</v>
      </c>
      <c r="I600" s="260"/>
      <c r="J600" s="258"/>
      <c r="K600" s="422"/>
      <c r="L600" s="422"/>
      <c r="M600" s="516"/>
      <c r="N600" s="594"/>
      <c r="O600" s="421"/>
      <c r="P600" s="597"/>
      <c r="Q600" s="424"/>
      <c r="R600" s="222">
        <f t="shared" si="14"/>
        <v>0</v>
      </c>
      <c r="S600" s="222"/>
      <c r="T600" s="222"/>
      <c r="U600" s="222"/>
      <c r="V600" s="222"/>
      <c r="AC600" s="414"/>
      <c r="AD600" s="471"/>
    </row>
    <row r="601" spans="1:30" s="45" customFormat="1" ht="15.75" customHeight="1" outlineLevel="1" x14ac:dyDescent="0.35">
      <c r="A601" s="241"/>
      <c r="B601" s="663"/>
      <c r="C601" s="599"/>
      <c r="D601" s="218"/>
      <c r="E601" s="217" t="s">
        <v>574</v>
      </c>
      <c r="F601" s="280" t="s">
        <v>519</v>
      </c>
      <c r="G601" s="218"/>
      <c r="H601" s="208" t="s">
        <v>520</v>
      </c>
      <c r="I601" s="260"/>
      <c r="J601" s="258"/>
      <c r="K601" s="422"/>
      <c r="L601" s="422"/>
      <c r="M601" s="516"/>
      <c r="N601" s="545"/>
      <c r="O601" s="421"/>
      <c r="P601" s="421"/>
      <c r="Q601" s="424"/>
      <c r="R601" s="222">
        <f t="shared" si="14"/>
        <v>0</v>
      </c>
      <c r="S601" s="222"/>
      <c r="T601" s="222"/>
      <c r="U601" s="222"/>
      <c r="V601" s="222"/>
      <c r="AC601" s="414"/>
      <c r="AD601" s="471"/>
    </row>
    <row r="602" spans="1:30" s="45" customFormat="1" ht="15.75" customHeight="1" outlineLevel="1" x14ac:dyDescent="0.35">
      <c r="A602" s="241"/>
      <c r="B602" s="663"/>
      <c r="C602" s="599"/>
      <c r="D602" s="218"/>
      <c r="E602" s="217" t="s">
        <v>574</v>
      </c>
      <c r="F602" s="280" t="s">
        <v>519</v>
      </c>
      <c r="G602" s="218"/>
      <c r="H602" s="208" t="s">
        <v>520</v>
      </c>
      <c r="I602" s="260"/>
      <c r="J602" s="258"/>
      <c r="K602" s="422"/>
      <c r="L602" s="422"/>
      <c r="M602" s="516"/>
      <c r="N602" s="594"/>
      <c r="O602" s="421"/>
      <c r="P602" s="597"/>
      <c r="Q602" s="424"/>
      <c r="R602" s="222">
        <f t="shared" si="14"/>
        <v>0</v>
      </c>
      <c r="S602" s="222"/>
      <c r="T602" s="222"/>
      <c r="U602" s="222"/>
      <c r="V602" s="222"/>
      <c r="AC602" s="414"/>
      <c r="AD602" s="471"/>
    </row>
    <row r="603" spans="1:30" s="45" customFormat="1" ht="16.2" outlineLevel="1" x14ac:dyDescent="0.35">
      <c r="A603" s="241"/>
      <c r="B603" s="663"/>
      <c r="C603" s="599"/>
      <c r="D603" s="218"/>
      <c r="E603" s="217" t="s">
        <v>574</v>
      </c>
      <c r="F603" s="280" t="s">
        <v>519</v>
      </c>
      <c r="G603" s="218"/>
      <c r="H603" s="208" t="s">
        <v>520</v>
      </c>
      <c r="I603" s="260"/>
      <c r="J603" s="258"/>
      <c r="K603" s="422"/>
      <c r="L603" s="422"/>
      <c r="M603" s="516"/>
      <c r="N603" s="594"/>
      <c r="O603" s="421"/>
      <c r="P603" s="595"/>
      <c r="Q603" s="596"/>
      <c r="R603" s="598">
        <f t="shared" si="14"/>
        <v>0</v>
      </c>
      <c r="S603" s="222"/>
      <c r="T603" s="222"/>
      <c r="U603" s="222"/>
      <c r="V603" s="222"/>
      <c r="AC603" s="414"/>
      <c r="AD603" s="471"/>
    </row>
    <row r="604" spans="1:30" s="45" customFormat="1" ht="15.75" customHeight="1" outlineLevel="1" x14ac:dyDescent="0.35">
      <c r="A604" s="241"/>
      <c r="B604" s="663"/>
      <c r="C604" s="599"/>
      <c r="D604" s="218"/>
      <c r="E604" s="217" t="s">
        <v>574</v>
      </c>
      <c r="F604" s="280" t="s">
        <v>519</v>
      </c>
      <c r="G604" s="218"/>
      <c r="H604" s="208" t="s">
        <v>520</v>
      </c>
      <c r="I604" s="260"/>
      <c r="J604" s="258"/>
      <c r="K604" s="422"/>
      <c r="L604" s="422"/>
      <c r="M604" s="516"/>
      <c r="N604" s="545"/>
      <c r="O604" s="421"/>
      <c r="P604" s="421"/>
      <c r="Q604" s="424"/>
      <c r="R604" s="222">
        <f t="shared" si="14"/>
        <v>0</v>
      </c>
      <c r="S604" s="222"/>
      <c r="T604" s="222"/>
      <c r="U604" s="222"/>
      <c r="V604" s="222"/>
      <c r="AC604" s="414"/>
      <c r="AD604" s="471"/>
    </row>
    <row r="605" spans="1:30" s="45" customFormat="1" ht="15.75" customHeight="1" outlineLevel="1" x14ac:dyDescent="0.35">
      <c r="A605" s="241"/>
      <c r="B605" s="663"/>
      <c r="C605" s="599"/>
      <c r="D605" s="218"/>
      <c r="E605" s="217" t="s">
        <v>574</v>
      </c>
      <c r="F605" s="280" t="s">
        <v>519</v>
      </c>
      <c r="G605" s="218"/>
      <c r="H605" s="208" t="s">
        <v>520</v>
      </c>
      <c r="I605" s="260"/>
      <c r="J605" s="258"/>
      <c r="K605" s="422"/>
      <c r="L605" s="422"/>
      <c r="M605" s="516"/>
      <c r="N605" s="594"/>
      <c r="O605" s="421"/>
      <c r="P605" s="597"/>
      <c r="Q605" s="424"/>
      <c r="R605" s="222">
        <f t="shared" si="14"/>
        <v>0</v>
      </c>
      <c r="S605" s="222"/>
      <c r="T605" s="222"/>
      <c r="U605" s="222"/>
      <c r="V605" s="222"/>
      <c r="AC605" s="414"/>
      <c r="AD605" s="471"/>
    </row>
    <row r="606" spans="1:30" s="45" customFormat="1" ht="16.2" outlineLevel="1" x14ac:dyDescent="0.35">
      <c r="A606" s="241"/>
      <c r="B606" s="663"/>
      <c r="C606" s="599"/>
      <c r="D606" s="218"/>
      <c r="E606" s="217" t="s">
        <v>574</v>
      </c>
      <c r="F606" s="280" t="s">
        <v>519</v>
      </c>
      <c r="G606" s="218"/>
      <c r="H606" s="208" t="s">
        <v>520</v>
      </c>
      <c r="I606" s="260"/>
      <c r="J606" s="258"/>
      <c r="K606" s="422"/>
      <c r="L606" s="422"/>
      <c r="M606" s="516"/>
      <c r="N606" s="594"/>
      <c r="O606" s="421"/>
      <c r="P606" s="595"/>
      <c r="Q606" s="596"/>
      <c r="R606" s="598">
        <f t="shared" si="14"/>
        <v>0</v>
      </c>
      <c r="S606" s="222"/>
      <c r="T606" s="222"/>
      <c r="U606" s="222"/>
      <c r="V606" s="222"/>
      <c r="AC606" s="414"/>
      <c r="AD606" s="471"/>
    </row>
    <row r="607" spans="1:30" s="45" customFormat="1" ht="15.75" customHeight="1" outlineLevel="1" x14ac:dyDescent="0.35">
      <c r="A607" s="241"/>
      <c r="B607" s="663"/>
      <c r="C607" s="599"/>
      <c r="D607" s="218"/>
      <c r="E607" s="217" t="s">
        <v>574</v>
      </c>
      <c r="F607" s="280" t="s">
        <v>519</v>
      </c>
      <c r="G607" s="218"/>
      <c r="H607" s="208" t="s">
        <v>520</v>
      </c>
      <c r="I607" s="260"/>
      <c r="J607" s="258"/>
      <c r="K607" s="422"/>
      <c r="L607" s="422"/>
      <c r="M607" s="516"/>
      <c r="N607" s="545"/>
      <c r="O607" s="421"/>
      <c r="P607" s="421"/>
      <c r="Q607" s="424"/>
      <c r="R607" s="222">
        <f t="shared" ref="R607:R617" si="15">SUM(S607,T607,U607,V607)</f>
        <v>0</v>
      </c>
      <c r="S607" s="222"/>
      <c r="T607" s="222"/>
      <c r="U607" s="222"/>
      <c r="V607" s="222"/>
      <c r="AC607" s="414"/>
      <c r="AD607" s="471"/>
    </row>
    <row r="608" spans="1:30" s="45" customFormat="1" ht="15.75" customHeight="1" outlineLevel="1" x14ac:dyDescent="0.35">
      <c r="A608" s="241"/>
      <c r="B608" s="663"/>
      <c r="C608" s="599"/>
      <c r="D608" s="218"/>
      <c r="E608" s="217" t="s">
        <v>574</v>
      </c>
      <c r="F608" s="280" t="s">
        <v>519</v>
      </c>
      <c r="G608" s="218"/>
      <c r="H608" s="208" t="s">
        <v>520</v>
      </c>
      <c r="I608" s="260"/>
      <c r="J608" s="258"/>
      <c r="K608" s="422"/>
      <c r="L608" s="422"/>
      <c r="M608" s="516"/>
      <c r="N608" s="594"/>
      <c r="O608" s="421"/>
      <c r="P608" s="597"/>
      <c r="Q608" s="424"/>
      <c r="R608" s="222">
        <f t="shared" si="15"/>
        <v>0</v>
      </c>
      <c r="S608" s="222"/>
      <c r="T608" s="222"/>
      <c r="U608" s="222"/>
      <c r="V608" s="222"/>
      <c r="AC608" s="414"/>
      <c r="AD608" s="471"/>
    </row>
    <row r="609" spans="1:30" s="45" customFormat="1" ht="16.2" outlineLevel="1" x14ac:dyDescent="0.35">
      <c r="A609" s="241"/>
      <c r="B609" s="663"/>
      <c r="C609" s="599"/>
      <c r="D609" s="218"/>
      <c r="E609" s="217" t="s">
        <v>574</v>
      </c>
      <c r="F609" s="280" t="s">
        <v>519</v>
      </c>
      <c r="G609" s="218"/>
      <c r="H609" s="208" t="s">
        <v>520</v>
      </c>
      <c r="I609" s="260"/>
      <c r="J609" s="258"/>
      <c r="K609" s="422"/>
      <c r="L609" s="422"/>
      <c r="M609" s="516"/>
      <c r="N609" s="594"/>
      <c r="O609" s="421"/>
      <c r="P609" s="595"/>
      <c r="Q609" s="596"/>
      <c r="R609" s="598">
        <f t="shared" si="15"/>
        <v>0</v>
      </c>
      <c r="S609" s="222"/>
      <c r="T609" s="222"/>
      <c r="U609" s="222"/>
      <c r="V609" s="222"/>
      <c r="AC609" s="414"/>
      <c r="AD609" s="471"/>
    </row>
    <row r="610" spans="1:30" s="45" customFormat="1" ht="15.75" customHeight="1" outlineLevel="1" x14ac:dyDescent="0.35">
      <c r="A610" s="241"/>
      <c r="B610" s="663"/>
      <c r="C610" s="599"/>
      <c r="D610" s="218"/>
      <c r="E610" s="217" t="s">
        <v>574</v>
      </c>
      <c r="F610" s="280" t="s">
        <v>519</v>
      </c>
      <c r="G610" s="218"/>
      <c r="H610" s="208" t="s">
        <v>520</v>
      </c>
      <c r="I610" s="260"/>
      <c r="J610" s="258"/>
      <c r="K610" s="422"/>
      <c r="L610" s="422"/>
      <c r="M610" s="516"/>
      <c r="N610" s="545"/>
      <c r="O610" s="421"/>
      <c r="P610" s="421"/>
      <c r="Q610" s="424"/>
      <c r="R610" s="222">
        <f t="shared" si="15"/>
        <v>0</v>
      </c>
      <c r="S610" s="222"/>
      <c r="T610" s="222"/>
      <c r="U610" s="222"/>
      <c r="V610" s="222"/>
      <c r="AC610" s="414"/>
      <c r="AD610" s="471"/>
    </row>
    <row r="611" spans="1:30" s="45" customFormat="1" ht="15.75" customHeight="1" outlineLevel="1" x14ac:dyDescent="0.35">
      <c r="A611" s="241"/>
      <c r="B611" s="663"/>
      <c r="C611" s="599"/>
      <c r="D611" s="218"/>
      <c r="E611" s="217" t="s">
        <v>574</v>
      </c>
      <c r="F611" s="280" t="s">
        <v>519</v>
      </c>
      <c r="G611" s="218"/>
      <c r="H611" s="208" t="s">
        <v>520</v>
      </c>
      <c r="I611" s="260"/>
      <c r="J611" s="258"/>
      <c r="K611" s="422"/>
      <c r="L611" s="422"/>
      <c r="M611" s="516"/>
      <c r="N611" s="594"/>
      <c r="O611" s="421"/>
      <c r="P611" s="597"/>
      <c r="Q611" s="424"/>
      <c r="R611" s="222">
        <f t="shared" si="15"/>
        <v>0</v>
      </c>
      <c r="S611" s="222"/>
      <c r="T611" s="222"/>
      <c r="U611" s="222"/>
      <c r="V611" s="222"/>
      <c r="AC611" s="414"/>
      <c r="AD611" s="471"/>
    </row>
    <row r="612" spans="1:30" s="45" customFormat="1" ht="15.75" customHeight="1" outlineLevel="1" x14ac:dyDescent="0.35">
      <c r="A612" s="241"/>
      <c r="B612" s="663"/>
      <c r="C612" s="599"/>
      <c r="D612" s="218"/>
      <c r="E612" s="217" t="s">
        <v>574</v>
      </c>
      <c r="F612" s="280" t="s">
        <v>519</v>
      </c>
      <c r="G612" s="218"/>
      <c r="H612" s="208" t="s">
        <v>520</v>
      </c>
      <c r="I612" s="260"/>
      <c r="J612" s="258"/>
      <c r="K612" s="422"/>
      <c r="L612" s="422"/>
      <c r="M612" s="516"/>
      <c r="N612" s="545"/>
      <c r="O612" s="421"/>
      <c r="P612" s="421"/>
      <c r="Q612" s="424"/>
      <c r="R612" s="222">
        <f t="shared" si="15"/>
        <v>0</v>
      </c>
      <c r="S612" s="222"/>
      <c r="T612" s="222"/>
      <c r="U612" s="222"/>
      <c r="V612" s="222"/>
      <c r="AC612" s="414"/>
      <c r="AD612" s="471"/>
    </row>
    <row r="613" spans="1:30" s="45" customFormat="1" ht="15.75" customHeight="1" outlineLevel="1" x14ac:dyDescent="0.35">
      <c r="A613" s="241"/>
      <c r="B613" s="663"/>
      <c r="C613" s="599"/>
      <c r="D613" s="218"/>
      <c r="E613" s="217" t="s">
        <v>574</v>
      </c>
      <c r="F613" s="280" t="s">
        <v>519</v>
      </c>
      <c r="G613" s="218"/>
      <c r="H613" s="208" t="s">
        <v>520</v>
      </c>
      <c r="I613" s="260"/>
      <c r="J613" s="258"/>
      <c r="K613" s="422"/>
      <c r="L613" s="422"/>
      <c r="M613" s="516"/>
      <c r="N613" s="594"/>
      <c r="O613" s="421"/>
      <c r="P613" s="597"/>
      <c r="Q613" s="424"/>
      <c r="R613" s="222">
        <f t="shared" si="15"/>
        <v>0</v>
      </c>
      <c r="S613" s="222"/>
      <c r="T613" s="222"/>
      <c r="U613" s="222"/>
      <c r="V613" s="222"/>
      <c r="AC613" s="414"/>
      <c r="AD613" s="471"/>
    </row>
    <row r="614" spans="1:30" s="45" customFormat="1" ht="16.2" outlineLevel="1" x14ac:dyDescent="0.35">
      <c r="A614" s="241"/>
      <c r="B614" s="663"/>
      <c r="C614" s="599"/>
      <c r="D614" s="218"/>
      <c r="E614" s="217" t="s">
        <v>574</v>
      </c>
      <c r="F614" s="280" t="s">
        <v>519</v>
      </c>
      <c r="G614" s="218"/>
      <c r="H614" s="208" t="s">
        <v>520</v>
      </c>
      <c r="I614" s="260"/>
      <c r="J614" s="258"/>
      <c r="K614" s="422"/>
      <c r="L614" s="422"/>
      <c r="M614" s="516"/>
      <c r="N614" s="594"/>
      <c r="O614" s="421"/>
      <c r="P614" s="595"/>
      <c r="Q614" s="596"/>
      <c r="R614" s="598">
        <f t="shared" si="15"/>
        <v>0</v>
      </c>
      <c r="S614" s="222"/>
      <c r="T614" s="222"/>
      <c r="U614" s="222"/>
      <c r="V614" s="222"/>
      <c r="AC614" s="414"/>
      <c r="AD614" s="471"/>
    </row>
    <row r="615" spans="1:30" s="45" customFormat="1" ht="15.75" customHeight="1" outlineLevel="1" x14ac:dyDescent="0.35">
      <c r="A615" s="241"/>
      <c r="B615" s="663"/>
      <c r="C615" s="599"/>
      <c r="D615" s="218"/>
      <c r="E615" s="217" t="s">
        <v>574</v>
      </c>
      <c r="F615" s="280" t="s">
        <v>519</v>
      </c>
      <c r="G615" s="218"/>
      <c r="H615" s="208" t="s">
        <v>520</v>
      </c>
      <c r="I615" s="260"/>
      <c r="J615" s="258"/>
      <c r="K615" s="422"/>
      <c r="L615" s="422"/>
      <c r="M615" s="516"/>
      <c r="N615" s="545"/>
      <c r="O615" s="421"/>
      <c r="P615" s="421"/>
      <c r="Q615" s="424"/>
      <c r="R615" s="222">
        <f t="shared" si="15"/>
        <v>0</v>
      </c>
      <c r="S615" s="222"/>
      <c r="T615" s="222"/>
      <c r="U615" s="222"/>
      <c r="V615" s="222"/>
      <c r="AC615" s="414"/>
      <c r="AD615" s="471"/>
    </row>
    <row r="616" spans="1:30" s="45" customFormat="1" ht="15.75" customHeight="1" outlineLevel="1" x14ac:dyDescent="0.35">
      <c r="A616" s="241"/>
      <c r="B616" s="663"/>
      <c r="C616" s="599"/>
      <c r="D616" s="218"/>
      <c r="E616" s="217" t="s">
        <v>574</v>
      </c>
      <c r="F616" s="280" t="s">
        <v>519</v>
      </c>
      <c r="G616" s="218"/>
      <c r="H616" s="208" t="s">
        <v>520</v>
      </c>
      <c r="I616" s="260"/>
      <c r="J616" s="258"/>
      <c r="K616" s="422"/>
      <c r="L616" s="422"/>
      <c r="M616" s="516"/>
      <c r="N616" s="594"/>
      <c r="O616" s="421"/>
      <c r="P616" s="597"/>
      <c r="Q616" s="424"/>
      <c r="R616" s="222">
        <f t="shared" si="15"/>
        <v>0</v>
      </c>
      <c r="S616" s="222"/>
      <c r="T616" s="222"/>
      <c r="U616" s="222"/>
      <c r="V616" s="222"/>
      <c r="AC616" s="414"/>
      <c r="AD616" s="471"/>
    </row>
    <row r="617" spans="1:30" s="45" customFormat="1" ht="16.2" outlineLevel="1" x14ac:dyDescent="0.35">
      <c r="A617" s="241"/>
      <c r="B617" s="663"/>
      <c r="C617" s="599"/>
      <c r="D617" s="218"/>
      <c r="E617" s="217" t="s">
        <v>574</v>
      </c>
      <c r="F617" s="280" t="s">
        <v>519</v>
      </c>
      <c r="G617" s="218"/>
      <c r="H617" s="208" t="s">
        <v>520</v>
      </c>
      <c r="I617" s="260"/>
      <c r="J617" s="258"/>
      <c r="K617" s="422"/>
      <c r="L617" s="422"/>
      <c r="M617" s="516"/>
      <c r="N617" s="594"/>
      <c r="O617" s="421"/>
      <c r="P617" s="595"/>
      <c r="Q617" s="596"/>
      <c r="R617" s="598">
        <f t="shared" si="15"/>
        <v>0</v>
      </c>
      <c r="S617" s="222"/>
      <c r="T617" s="222"/>
      <c r="U617" s="222"/>
      <c r="V617" s="222"/>
      <c r="AC617" s="414"/>
      <c r="AD617" s="471"/>
    </row>
    <row r="618" spans="1:30" s="45" customFormat="1" ht="16.2" x14ac:dyDescent="0.35">
      <c r="A618" s="240" t="s">
        <v>663</v>
      </c>
      <c r="B618" s="241"/>
      <c r="C618" s="241"/>
      <c r="D618" s="241"/>
      <c r="E618" s="241"/>
      <c r="F618" s="258"/>
      <c r="G618" s="259"/>
      <c r="H618" s="232"/>
      <c r="I618" s="260"/>
      <c r="J618" s="258"/>
      <c r="K618" s="251"/>
      <c r="L618" s="303"/>
      <c r="M618" s="512"/>
      <c r="N618" s="518" t="s">
        <v>249</v>
      </c>
      <c r="O618" s="296">
        <v>244</v>
      </c>
      <c r="P618" s="297">
        <v>346</v>
      </c>
      <c r="Q618" s="384"/>
      <c r="R618" s="229">
        <f>SUM(R619:R653)</f>
        <v>0</v>
      </c>
      <c r="S618" s="229">
        <f>SUM(S619:S653)</f>
        <v>0</v>
      </c>
      <c r="T618" s="229">
        <f>SUM(T619:T653)</f>
        <v>0</v>
      </c>
      <c r="U618" s="229">
        <f>SUM(U619:U653)</f>
        <v>0</v>
      </c>
      <c r="V618" s="229">
        <f>SUM(V619:V653)</f>
        <v>0</v>
      </c>
      <c r="AC618" s="414"/>
      <c r="AD618" s="471"/>
    </row>
    <row r="619" spans="1:30" s="45" customFormat="1" ht="15.6" outlineLevel="1" x14ac:dyDescent="0.3">
      <c r="A619" s="330"/>
      <c r="B619" s="353"/>
      <c r="C619" s="241"/>
      <c r="D619" s="218"/>
      <c r="E619" s="217" t="s">
        <v>574</v>
      </c>
      <c r="F619" s="217" t="s">
        <v>519</v>
      </c>
      <c r="G619" s="218"/>
      <c r="H619" s="208" t="s">
        <v>520</v>
      </c>
      <c r="I619" s="241"/>
      <c r="J619" s="241"/>
      <c r="K619" s="250"/>
      <c r="L619" s="241"/>
      <c r="M619" s="499"/>
      <c r="N619" s="518"/>
      <c r="O619" s="296"/>
      <c r="P619" s="297"/>
      <c r="Q619" s="384"/>
      <c r="R619" s="222">
        <f>SUM(S619,T619,U619,V619)</f>
        <v>0</v>
      </c>
      <c r="S619" s="347"/>
      <c r="T619" s="347"/>
      <c r="U619" s="347"/>
      <c r="V619" s="347"/>
      <c r="AC619" s="414"/>
      <c r="AD619" s="471"/>
    </row>
    <row r="620" spans="1:30" ht="15.6" outlineLevel="1" x14ac:dyDescent="0.3">
      <c r="A620" s="330"/>
      <c r="B620" s="353"/>
      <c r="C620" s="241"/>
      <c r="D620" s="218"/>
      <c r="E620" s="217" t="s">
        <v>574</v>
      </c>
      <c r="F620" s="217" t="s">
        <v>519</v>
      </c>
      <c r="G620" s="218"/>
      <c r="H620" s="208" t="s">
        <v>520</v>
      </c>
      <c r="I620" s="241"/>
      <c r="J620" s="241"/>
      <c r="K620" s="250"/>
      <c r="L620" s="241"/>
      <c r="M620" s="499"/>
      <c r="N620" s="518"/>
      <c r="O620" s="296"/>
      <c r="P620" s="297"/>
      <c r="Q620" s="384"/>
      <c r="R620" s="222">
        <f>SUM(S620,T620,U620,V620)</f>
        <v>0</v>
      </c>
      <c r="S620" s="347"/>
      <c r="T620" s="347"/>
      <c r="U620" s="347"/>
      <c r="V620" s="347"/>
    </row>
    <row r="621" spans="1:30" ht="15.6" outlineLevel="1" x14ac:dyDescent="0.3">
      <c r="A621" s="330"/>
      <c r="B621" s="353"/>
      <c r="C621" s="241"/>
      <c r="D621" s="218"/>
      <c r="E621" s="217" t="s">
        <v>574</v>
      </c>
      <c r="F621" s="217" t="s">
        <v>519</v>
      </c>
      <c r="G621" s="218"/>
      <c r="H621" s="208" t="s">
        <v>520</v>
      </c>
      <c r="I621" s="241"/>
      <c r="J621" s="241"/>
      <c r="K621" s="250"/>
      <c r="L621" s="241"/>
      <c r="M621" s="499"/>
      <c r="N621" s="518"/>
      <c r="O621" s="296"/>
      <c r="P621" s="297"/>
      <c r="Q621" s="384"/>
      <c r="R621" s="222">
        <f>SUM(S621,T621,U621,V621)</f>
        <v>0</v>
      </c>
      <c r="S621" s="347"/>
      <c r="T621" s="347"/>
      <c r="U621" s="347"/>
      <c r="V621" s="347"/>
    </row>
    <row r="622" spans="1:30" ht="15.6" outlineLevel="1" x14ac:dyDescent="0.3">
      <c r="A622" s="330"/>
      <c r="B622" s="353"/>
      <c r="C622" s="241"/>
      <c r="D622" s="218"/>
      <c r="E622" s="217" t="s">
        <v>574</v>
      </c>
      <c r="F622" s="217" t="s">
        <v>519</v>
      </c>
      <c r="G622" s="218"/>
      <c r="H622" s="208" t="s">
        <v>520</v>
      </c>
      <c r="I622" s="241"/>
      <c r="J622" s="241"/>
      <c r="K622" s="250"/>
      <c r="L622" s="241"/>
      <c r="M622" s="499"/>
      <c r="N622" s="518"/>
      <c r="O622" s="296"/>
      <c r="P622" s="297"/>
      <c r="Q622" s="384"/>
      <c r="R622" s="222">
        <f>SUM(S622,T622,U622,V622)</f>
        <v>0</v>
      </c>
      <c r="S622" s="347"/>
      <c r="T622" s="347"/>
      <c r="U622" s="347"/>
      <c r="V622" s="347"/>
    </row>
    <row r="623" spans="1:30" ht="15.6" outlineLevel="1" x14ac:dyDescent="0.3">
      <c r="A623" s="330"/>
      <c r="B623" s="353"/>
      <c r="C623" s="241"/>
      <c r="D623" s="218"/>
      <c r="E623" s="217" t="s">
        <v>574</v>
      </c>
      <c r="F623" s="217" t="s">
        <v>519</v>
      </c>
      <c r="G623" s="218"/>
      <c r="H623" s="208" t="s">
        <v>520</v>
      </c>
      <c r="I623" s="241"/>
      <c r="J623" s="241"/>
      <c r="K623" s="250"/>
      <c r="L623" s="241"/>
      <c r="M623" s="499"/>
      <c r="N623" s="518"/>
      <c r="O623" s="296"/>
      <c r="P623" s="297"/>
      <c r="Q623" s="384"/>
      <c r="R623" s="222">
        <f>SUM(S623,T623,U623,V623)</f>
        <v>0</v>
      </c>
      <c r="S623" s="347"/>
      <c r="T623" s="347"/>
      <c r="U623" s="347"/>
      <c r="V623" s="347"/>
    </row>
    <row r="624" spans="1:30" s="45" customFormat="1" ht="15.6" outlineLevel="1" x14ac:dyDescent="0.3">
      <c r="A624" s="330"/>
      <c r="B624" s="353"/>
      <c r="C624" s="241"/>
      <c r="D624" s="218"/>
      <c r="E624" s="217" t="s">
        <v>574</v>
      </c>
      <c r="F624" s="217" t="s">
        <v>519</v>
      </c>
      <c r="G624" s="218"/>
      <c r="H624" s="208" t="s">
        <v>520</v>
      </c>
      <c r="I624" s="241"/>
      <c r="J624" s="241"/>
      <c r="K624" s="250"/>
      <c r="L624" s="241"/>
      <c r="M624" s="499"/>
      <c r="N624" s="518"/>
      <c r="O624" s="296"/>
      <c r="P624" s="297"/>
      <c r="Q624" s="384"/>
      <c r="R624" s="222">
        <f t="shared" ref="R624:R647" si="16">SUM(S624,T624,U624,V624)</f>
        <v>0</v>
      </c>
      <c r="S624" s="347"/>
      <c r="T624" s="347"/>
      <c r="U624" s="347"/>
      <c r="V624" s="347"/>
      <c r="AC624" s="414"/>
      <c r="AD624" s="471"/>
    </row>
    <row r="625" spans="1:30" ht="15.6" outlineLevel="1" x14ac:dyDescent="0.3">
      <c r="A625" s="330"/>
      <c r="B625" s="353"/>
      <c r="C625" s="241"/>
      <c r="D625" s="218"/>
      <c r="E625" s="217" t="s">
        <v>574</v>
      </c>
      <c r="F625" s="217" t="s">
        <v>519</v>
      </c>
      <c r="G625" s="218"/>
      <c r="H625" s="208" t="s">
        <v>520</v>
      </c>
      <c r="I625" s="241"/>
      <c r="J625" s="241"/>
      <c r="K625" s="250"/>
      <c r="L625" s="241"/>
      <c r="M625" s="499"/>
      <c r="N625" s="518"/>
      <c r="O625" s="296"/>
      <c r="P625" s="297"/>
      <c r="Q625" s="384"/>
      <c r="R625" s="222">
        <f t="shared" si="16"/>
        <v>0</v>
      </c>
      <c r="S625" s="347"/>
      <c r="T625" s="347"/>
      <c r="U625" s="347"/>
      <c r="V625" s="347"/>
    </row>
    <row r="626" spans="1:30" s="45" customFormat="1" ht="15.6" outlineLevel="1" x14ac:dyDescent="0.3">
      <c r="A626" s="330"/>
      <c r="B626" s="353"/>
      <c r="C626" s="241"/>
      <c r="D626" s="218"/>
      <c r="E626" s="217" t="s">
        <v>574</v>
      </c>
      <c r="F626" s="217" t="s">
        <v>519</v>
      </c>
      <c r="G626" s="218"/>
      <c r="H626" s="208" t="s">
        <v>520</v>
      </c>
      <c r="I626" s="241"/>
      <c r="J626" s="241"/>
      <c r="K626" s="250"/>
      <c r="L626" s="241"/>
      <c r="M626" s="499"/>
      <c r="N626" s="518"/>
      <c r="O626" s="296"/>
      <c r="P626" s="297"/>
      <c r="Q626" s="384"/>
      <c r="R626" s="222">
        <f t="shared" si="16"/>
        <v>0</v>
      </c>
      <c r="S626" s="347"/>
      <c r="T626" s="347"/>
      <c r="U626" s="347"/>
      <c r="V626" s="347"/>
      <c r="AC626" s="414"/>
      <c r="AD626" s="471"/>
    </row>
    <row r="627" spans="1:30" ht="15.6" outlineLevel="1" x14ac:dyDescent="0.3">
      <c r="A627" s="330"/>
      <c r="B627" s="353"/>
      <c r="C627" s="241"/>
      <c r="D627" s="218"/>
      <c r="E627" s="217" t="s">
        <v>574</v>
      </c>
      <c r="F627" s="217" t="s">
        <v>519</v>
      </c>
      <c r="G627" s="218"/>
      <c r="H627" s="208" t="s">
        <v>520</v>
      </c>
      <c r="I627" s="241"/>
      <c r="J627" s="241"/>
      <c r="K627" s="250"/>
      <c r="L627" s="241"/>
      <c r="M627" s="499"/>
      <c r="N627" s="518"/>
      <c r="O627" s="296"/>
      <c r="P627" s="297"/>
      <c r="Q627" s="384"/>
      <c r="R627" s="222">
        <f t="shared" si="16"/>
        <v>0</v>
      </c>
      <c r="S627" s="347"/>
      <c r="T627" s="347"/>
      <c r="U627" s="347"/>
      <c r="V627" s="347"/>
    </row>
    <row r="628" spans="1:30" ht="15.6" outlineLevel="1" x14ac:dyDescent="0.3">
      <c r="A628" s="330"/>
      <c r="B628" s="353"/>
      <c r="C628" s="241"/>
      <c r="D628" s="218"/>
      <c r="E628" s="217" t="s">
        <v>574</v>
      </c>
      <c r="F628" s="217" t="s">
        <v>519</v>
      </c>
      <c r="G628" s="218"/>
      <c r="H628" s="208" t="s">
        <v>520</v>
      </c>
      <c r="I628" s="241"/>
      <c r="J628" s="241"/>
      <c r="K628" s="250"/>
      <c r="L628" s="241"/>
      <c r="M628" s="499"/>
      <c r="N628" s="518"/>
      <c r="O628" s="296"/>
      <c r="P628" s="297"/>
      <c r="Q628" s="384"/>
      <c r="R628" s="222">
        <f t="shared" si="16"/>
        <v>0</v>
      </c>
      <c r="S628" s="347"/>
      <c r="T628" s="347"/>
      <c r="U628" s="347"/>
      <c r="V628" s="347"/>
    </row>
    <row r="629" spans="1:30" ht="15.6" outlineLevel="1" x14ac:dyDescent="0.3">
      <c r="A629" s="330"/>
      <c r="B629" s="353"/>
      <c r="C629" s="241"/>
      <c r="D629" s="218"/>
      <c r="E629" s="217" t="s">
        <v>574</v>
      </c>
      <c r="F629" s="217" t="s">
        <v>519</v>
      </c>
      <c r="G629" s="218"/>
      <c r="H629" s="208" t="s">
        <v>520</v>
      </c>
      <c r="I629" s="241"/>
      <c r="J629" s="241"/>
      <c r="K629" s="250"/>
      <c r="L629" s="241"/>
      <c r="M629" s="499"/>
      <c r="N629" s="518"/>
      <c r="O629" s="296"/>
      <c r="P629" s="297"/>
      <c r="Q629" s="384"/>
      <c r="R629" s="222">
        <f t="shared" si="16"/>
        <v>0</v>
      </c>
      <c r="S629" s="347"/>
      <c r="T629" s="347"/>
      <c r="U629" s="347"/>
      <c r="V629" s="347"/>
    </row>
    <row r="630" spans="1:30" ht="15.6" outlineLevel="1" x14ac:dyDescent="0.3">
      <c r="A630" s="330"/>
      <c r="B630" s="353"/>
      <c r="C630" s="241"/>
      <c r="D630" s="218"/>
      <c r="E630" s="217" t="s">
        <v>574</v>
      </c>
      <c r="F630" s="217" t="s">
        <v>519</v>
      </c>
      <c r="G630" s="218"/>
      <c r="H630" s="208" t="s">
        <v>520</v>
      </c>
      <c r="I630" s="241"/>
      <c r="J630" s="241"/>
      <c r="K630" s="250"/>
      <c r="L630" s="241"/>
      <c r="M630" s="499"/>
      <c r="N630" s="518"/>
      <c r="O630" s="296"/>
      <c r="P630" s="297"/>
      <c r="Q630" s="384"/>
      <c r="R630" s="222">
        <f t="shared" si="16"/>
        <v>0</v>
      </c>
      <c r="S630" s="347"/>
      <c r="T630" s="347"/>
      <c r="U630" s="347"/>
      <c r="V630" s="347"/>
    </row>
    <row r="631" spans="1:30" ht="15.6" outlineLevel="1" x14ac:dyDescent="0.3">
      <c r="A631" s="330"/>
      <c r="B631" s="353"/>
      <c r="C631" s="241"/>
      <c r="D631" s="218"/>
      <c r="E631" s="217" t="s">
        <v>574</v>
      </c>
      <c r="F631" s="217" t="s">
        <v>519</v>
      </c>
      <c r="G631" s="218"/>
      <c r="H631" s="208" t="s">
        <v>520</v>
      </c>
      <c r="I631" s="241"/>
      <c r="J631" s="241"/>
      <c r="K631" s="250"/>
      <c r="L631" s="241"/>
      <c r="M631" s="499"/>
      <c r="N631" s="518"/>
      <c r="O631" s="296"/>
      <c r="P631" s="297"/>
      <c r="Q631" s="384"/>
      <c r="R631" s="222">
        <f t="shared" si="16"/>
        <v>0</v>
      </c>
      <c r="S631" s="347"/>
      <c r="T631" s="347"/>
      <c r="U631" s="347"/>
      <c r="V631" s="347"/>
    </row>
    <row r="632" spans="1:30" s="45" customFormat="1" ht="15.6" outlineLevel="1" x14ac:dyDescent="0.3">
      <c r="A632" s="330"/>
      <c r="B632" s="353"/>
      <c r="C632" s="241"/>
      <c r="D632" s="218"/>
      <c r="E632" s="217" t="s">
        <v>574</v>
      </c>
      <c r="F632" s="217" t="s">
        <v>519</v>
      </c>
      <c r="G632" s="218"/>
      <c r="H632" s="208" t="s">
        <v>520</v>
      </c>
      <c r="I632" s="241"/>
      <c r="J632" s="241"/>
      <c r="K632" s="250"/>
      <c r="L632" s="241"/>
      <c r="M632" s="499"/>
      <c r="N632" s="518"/>
      <c r="O632" s="296"/>
      <c r="P632" s="297"/>
      <c r="Q632" s="384"/>
      <c r="R632" s="222">
        <f t="shared" ref="R632:R637" si="17">SUM(S632,T632,U632,V632)</f>
        <v>0</v>
      </c>
      <c r="S632" s="347"/>
      <c r="T632" s="347"/>
      <c r="U632" s="347"/>
      <c r="V632" s="347"/>
      <c r="AC632" s="414"/>
      <c r="AD632" s="471"/>
    </row>
    <row r="633" spans="1:30" ht="15.6" outlineLevel="1" x14ac:dyDescent="0.3">
      <c r="A633" s="330"/>
      <c r="B633" s="353"/>
      <c r="C633" s="241"/>
      <c r="D633" s="218"/>
      <c r="E633" s="217" t="s">
        <v>574</v>
      </c>
      <c r="F633" s="217" t="s">
        <v>519</v>
      </c>
      <c r="G633" s="218"/>
      <c r="H633" s="208" t="s">
        <v>520</v>
      </c>
      <c r="I633" s="241"/>
      <c r="J633" s="241"/>
      <c r="K633" s="250"/>
      <c r="L633" s="241"/>
      <c r="M633" s="499"/>
      <c r="N633" s="518"/>
      <c r="O633" s="296"/>
      <c r="P633" s="297"/>
      <c r="Q633" s="384"/>
      <c r="R633" s="222">
        <f t="shared" si="17"/>
        <v>0</v>
      </c>
      <c r="S633" s="347"/>
      <c r="T633" s="347"/>
      <c r="U633" s="347"/>
      <c r="V633" s="347"/>
    </row>
    <row r="634" spans="1:30" ht="15.6" outlineLevel="1" x14ac:dyDescent="0.3">
      <c r="A634" s="330"/>
      <c r="B634" s="353"/>
      <c r="C634" s="241"/>
      <c r="D634" s="218"/>
      <c r="E634" s="217" t="s">
        <v>574</v>
      </c>
      <c r="F634" s="217" t="s">
        <v>519</v>
      </c>
      <c r="G634" s="218"/>
      <c r="H634" s="208" t="s">
        <v>520</v>
      </c>
      <c r="I634" s="241"/>
      <c r="J634" s="241"/>
      <c r="K634" s="250"/>
      <c r="L634" s="241"/>
      <c r="M634" s="499"/>
      <c r="N634" s="518"/>
      <c r="O634" s="296"/>
      <c r="P634" s="297"/>
      <c r="Q634" s="384"/>
      <c r="R634" s="222">
        <f t="shared" si="17"/>
        <v>0</v>
      </c>
      <c r="S634" s="347"/>
      <c r="T634" s="347"/>
      <c r="U634" s="347"/>
      <c r="V634" s="347"/>
    </row>
    <row r="635" spans="1:30" ht="15.6" outlineLevel="1" x14ac:dyDescent="0.3">
      <c r="A635" s="330"/>
      <c r="B635" s="353"/>
      <c r="C635" s="241"/>
      <c r="D635" s="218"/>
      <c r="E635" s="217" t="s">
        <v>574</v>
      </c>
      <c r="F635" s="217" t="s">
        <v>519</v>
      </c>
      <c r="G635" s="218"/>
      <c r="H635" s="208" t="s">
        <v>520</v>
      </c>
      <c r="I635" s="241"/>
      <c r="J635" s="241"/>
      <c r="K635" s="250"/>
      <c r="L635" s="241"/>
      <c r="M635" s="499"/>
      <c r="N635" s="518"/>
      <c r="O635" s="296"/>
      <c r="P635" s="297"/>
      <c r="Q635" s="384"/>
      <c r="R635" s="222">
        <f t="shared" si="17"/>
        <v>0</v>
      </c>
      <c r="S635" s="347"/>
      <c r="T635" s="347"/>
      <c r="U635" s="347"/>
      <c r="V635" s="347"/>
    </row>
    <row r="636" spans="1:30" ht="15.6" outlineLevel="1" x14ac:dyDescent="0.3">
      <c r="A636" s="330"/>
      <c r="B636" s="353"/>
      <c r="C636" s="241"/>
      <c r="D636" s="218"/>
      <c r="E636" s="217" t="s">
        <v>574</v>
      </c>
      <c r="F636" s="217" t="s">
        <v>519</v>
      </c>
      <c r="G636" s="218"/>
      <c r="H636" s="208" t="s">
        <v>520</v>
      </c>
      <c r="I636" s="241"/>
      <c r="J636" s="241"/>
      <c r="K636" s="250"/>
      <c r="L636" s="241"/>
      <c r="M636" s="499"/>
      <c r="N636" s="518"/>
      <c r="O636" s="296"/>
      <c r="P636" s="297"/>
      <c r="Q636" s="384"/>
      <c r="R636" s="222">
        <f t="shared" si="17"/>
        <v>0</v>
      </c>
      <c r="S636" s="347"/>
      <c r="T636" s="347"/>
      <c r="U636" s="347"/>
      <c r="V636" s="347"/>
    </row>
    <row r="637" spans="1:30" ht="15.6" outlineLevel="1" x14ac:dyDescent="0.3">
      <c r="A637" s="330"/>
      <c r="B637" s="353"/>
      <c r="C637" s="241"/>
      <c r="D637" s="218"/>
      <c r="E637" s="217" t="s">
        <v>574</v>
      </c>
      <c r="F637" s="217" t="s">
        <v>519</v>
      </c>
      <c r="G637" s="218"/>
      <c r="H637" s="208" t="s">
        <v>520</v>
      </c>
      <c r="I637" s="241"/>
      <c r="J637" s="241"/>
      <c r="K637" s="250"/>
      <c r="L637" s="241"/>
      <c r="M637" s="499"/>
      <c r="N637" s="518"/>
      <c r="O637" s="296"/>
      <c r="P637" s="297"/>
      <c r="Q637" s="384"/>
      <c r="R637" s="222">
        <f t="shared" si="17"/>
        <v>0</v>
      </c>
      <c r="S637" s="347"/>
      <c r="T637" s="347"/>
      <c r="U637" s="347"/>
      <c r="V637" s="347"/>
    </row>
    <row r="638" spans="1:30" s="45" customFormat="1" ht="15.6" outlineLevel="1" x14ac:dyDescent="0.3">
      <c r="A638" s="330"/>
      <c r="B638" s="353"/>
      <c r="C638" s="241"/>
      <c r="D638" s="218"/>
      <c r="E638" s="217" t="s">
        <v>574</v>
      </c>
      <c r="F638" s="217" t="s">
        <v>519</v>
      </c>
      <c r="G638" s="218"/>
      <c r="H638" s="208" t="s">
        <v>520</v>
      </c>
      <c r="I638" s="241"/>
      <c r="J638" s="241"/>
      <c r="K638" s="250"/>
      <c r="L638" s="241"/>
      <c r="M638" s="499"/>
      <c r="N638" s="518"/>
      <c r="O638" s="296"/>
      <c r="P638" s="297"/>
      <c r="Q638" s="384"/>
      <c r="R638" s="222">
        <f>SUM(S638,T638,U638,V638)</f>
        <v>0</v>
      </c>
      <c r="S638" s="347"/>
      <c r="T638" s="347"/>
      <c r="U638" s="347"/>
      <c r="V638" s="347"/>
      <c r="AC638" s="414"/>
      <c r="AD638" s="471"/>
    </row>
    <row r="639" spans="1:30" ht="15.6" outlineLevel="1" x14ac:dyDescent="0.3">
      <c r="A639" s="330"/>
      <c r="B639" s="353"/>
      <c r="C639" s="241"/>
      <c r="D639" s="218"/>
      <c r="E639" s="217" t="s">
        <v>574</v>
      </c>
      <c r="F639" s="217" t="s">
        <v>519</v>
      </c>
      <c r="G639" s="218"/>
      <c r="H639" s="208" t="s">
        <v>520</v>
      </c>
      <c r="I639" s="241"/>
      <c r="J639" s="241"/>
      <c r="K639" s="250"/>
      <c r="L639" s="241"/>
      <c r="M639" s="499"/>
      <c r="N639" s="518"/>
      <c r="O639" s="296"/>
      <c r="P639" s="297"/>
      <c r="Q639" s="384"/>
      <c r="R639" s="222">
        <f>SUM(S639,T639,U639,V639)</f>
        <v>0</v>
      </c>
      <c r="S639" s="347"/>
      <c r="T639" s="347"/>
      <c r="U639" s="347"/>
      <c r="V639" s="347"/>
    </row>
    <row r="640" spans="1:30" ht="15.6" outlineLevel="1" x14ac:dyDescent="0.3">
      <c r="A640" s="330"/>
      <c r="B640" s="353"/>
      <c r="C640" s="241"/>
      <c r="D640" s="218"/>
      <c r="E640" s="217" t="s">
        <v>574</v>
      </c>
      <c r="F640" s="217" t="s">
        <v>519</v>
      </c>
      <c r="G640" s="218"/>
      <c r="H640" s="208" t="s">
        <v>520</v>
      </c>
      <c r="I640" s="241"/>
      <c r="J640" s="241"/>
      <c r="K640" s="250"/>
      <c r="L640" s="241"/>
      <c r="M640" s="499"/>
      <c r="N640" s="518"/>
      <c r="O640" s="296"/>
      <c r="P640" s="297"/>
      <c r="Q640" s="384"/>
      <c r="R640" s="222">
        <f t="shared" si="16"/>
        <v>0</v>
      </c>
      <c r="S640" s="347"/>
      <c r="T640" s="347"/>
      <c r="U640" s="347"/>
      <c r="V640" s="347"/>
    </row>
    <row r="641" spans="1:30" ht="15.6" outlineLevel="1" x14ac:dyDescent="0.3">
      <c r="A641" s="330"/>
      <c r="B641" s="353"/>
      <c r="C641" s="241"/>
      <c r="D641" s="218"/>
      <c r="E641" s="217" t="s">
        <v>574</v>
      </c>
      <c r="F641" s="217" t="s">
        <v>519</v>
      </c>
      <c r="G641" s="218"/>
      <c r="H641" s="208" t="s">
        <v>520</v>
      </c>
      <c r="I641" s="241"/>
      <c r="J641" s="241"/>
      <c r="K641" s="250"/>
      <c r="L641" s="241"/>
      <c r="M641" s="499"/>
      <c r="N641" s="518"/>
      <c r="O641" s="296"/>
      <c r="P641" s="297"/>
      <c r="Q641" s="384"/>
      <c r="R641" s="222">
        <f t="shared" si="16"/>
        <v>0</v>
      </c>
      <c r="S641" s="347"/>
      <c r="T641" s="347"/>
      <c r="U641" s="347"/>
      <c r="V641" s="347"/>
    </row>
    <row r="642" spans="1:30" ht="15.6" outlineLevel="1" x14ac:dyDescent="0.3">
      <c r="A642" s="330"/>
      <c r="B642" s="353"/>
      <c r="C642" s="241"/>
      <c r="D642" s="218"/>
      <c r="E642" s="217" t="s">
        <v>574</v>
      </c>
      <c r="F642" s="217" t="s">
        <v>519</v>
      </c>
      <c r="G642" s="218"/>
      <c r="H642" s="208" t="s">
        <v>520</v>
      </c>
      <c r="I642" s="241"/>
      <c r="J642" s="241"/>
      <c r="K642" s="250"/>
      <c r="L642" s="241"/>
      <c r="M642" s="499"/>
      <c r="N642" s="518"/>
      <c r="O642" s="296"/>
      <c r="P642" s="297"/>
      <c r="Q642" s="384"/>
      <c r="R642" s="222">
        <f t="shared" si="16"/>
        <v>0</v>
      </c>
      <c r="S642" s="347"/>
      <c r="T642" s="347"/>
      <c r="U642" s="347"/>
      <c r="V642" s="347"/>
    </row>
    <row r="643" spans="1:30" s="45" customFormat="1" ht="15.6" outlineLevel="1" x14ac:dyDescent="0.3">
      <c r="A643" s="330"/>
      <c r="B643" s="353"/>
      <c r="C643" s="241"/>
      <c r="D643" s="218"/>
      <c r="E643" s="217" t="s">
        <v>574</v>
      </c>
      <c r="F643" s="217" t="s">
        <v>519</v>
      </c>
      <c r="G643" s="218"/>
      <c r="H643" s="208" t="s">
        <v>520</v>
      </c>
      <c r="I643" s="241"/>
      <c r="J643" s="241"/>
      <c r="K643" s="250"/>
      <c r="L643" s="241"/>
      <c r="M643" s="499"/>
      <c r="N643" s="518"/>
      <c r="O643" s="296"/>
      <c r="P643" s="297"/>
      <c r="Q643" s="384"/>
      <c r="R643" s="222">
        <f t="shared" si="16"/>
        <v>0</v>
      </c>
      <c r="S643" s="347"/>
      <c r="T643" s="347"/>
      <c r="U643" s="347"/>
      <c r="V643" s="347"/>
      <c r="AC643" s="414"/>
      <c r="AD643" s="471"/>
    </row>
    <row r="644" spans="1:30" ht="15.6" outlineLevel="1" x14ac:dyDescent="0.3">
      <c r="A644" s="330"/>
      <c r="B644" s="304"/>
      <c r="C644" s="241"/>
      <c r="D644" s="218"/>
      <c r="E644" s="217" t="s">
        <v>574</v>
      </c>
      <c r="F644" s="217" t="s">
        <v>519</v>
      </c>
      <c r="G644" s="218"/>
      <c r="H644" s="208" t="s">
        <v>520</v>
      </c>
      <c r="I644" s="241"/>
      <c r="J644" s="241"/>
      <c r="K644" s="250"/>
      <c r="L644" s="241"/>
      <c r="M644" s="499"/>
      <c r="N644" s="518"/>
      <c r="O644" s="296"/>
      <c r="P644" s="297"/>
      <c r="Q644" s="384"/>
      <c r="R644" s="222">
        <f t="shared" si="16"/>
        <v>0</v>
      </c>
      <c r="S644" s="347"/>
      <c r="T644" s="347"/>
      <c r="U644" s="347"/>
      <c r="V644" s="347"/>
    </row>
    <row r="645" spans="1:30" ht="15.6" outlineLevel="1" x14ac:dyDescent="0.3">
      <c r="A645" s="330"/>
      <c r="B645" s="353"/>
      <c r="C645" s="241"/>
      <c r="D645" s="218"/>
      <c r="E645" s="217" t="s">
        <v>574</v>
      </c>
      <c r="F645" s="217" t="s">
        <v>519</v>
      </c>
      <c r="G645" s="218"/>
      <c r="H645" s="208" t="s">
        <v>520</v>
      </c>
      <c r="I645" s="241"/>
      <c r="J645" s="241"/>
      <c r="K645" s="250"/>
      <c r="L645" s="241"/>
      <c r="M645" s="499"/>
      <c r="N645" s="518"/>
      <c r="O645" s="296"/>
      <c r="P645" s="297"/>
      <c r="Q645" s="384"/>
      <c r="R645" s="222">
        <f t="shared" si="16"/>
        <v>0</v>
      </c>
      <c r="S645" s="347"/>
      <c r="T645" s="347"/>
      <c r="U645" s="347"/>
      <c r="V645" s="347"/>
    </row>
    <row r="646" spans="1:30" ht="15.6" outlineLevel="1" x14ac:dyDescent="0.3">
      <c r="A646" s="330"/>
      <c r="B646" s="353"/>
      <c r="C646" s="241"/>
      <c r="D646" s="218"/>
      <c r="E646" s="217" t="s">
        <v>574</v>
      </c>
      <c r="F646" s="217" t="s">
        <v>519</v>
      </c>
      <c r="G646" s="218"/>
      <c r="H646" s="208" t="s">
        <v>520</v>
      </c>
      <c r="I646" s="241"/>
      <c r="J646" s="241"/>
      <c r="K646" s="250"/>
      <c r="L646" s="241"/>
      <c r="M646" s="499"/>
      <c r="N646" s="518"/>
      <c r="O646" s="296"/>
      <c r="P646" s="297"/>
      <c r="Q646" s="384"/>
      <c r="R646" s="222">
        <f t="shared" si="16"/>
        <v>0</v>
      </c>
      <c r="S646" s="347"/>
      <c r="T646" s="347"/>
      <c r="U646" s="347"/>
      <c r="V646" s="347"/>
    </row>
    <row r="647" spans="1:30" ht="15.6" outlineLevel="1" x14ac:dyDescent="0.3">
      <c r="A647" s="330"/>
      <c r="B647" s="353"/>
      <c r="C647" s="241"/>
      <c r="D647" s="218"/>
      <c r="E647" s="217" t="s">
        <v>574</v>
      </c>
      <c r="F647" s="217" t="s">
        <v>519</v>
      </c>
      <c r="G647" s="218"/>
      <c r="H647" s="208" t="s">
        <v>520</v>
      </c>
      <c r="I647" s="241"/>
      <c r="J647" s="241"/>
      <c r="K647" s="250"/>
      <c r="L647" s="241"/>
      <c r="M647" s="499"/>
      <c r="N647" s="518"/>
      <c r="O647" s="296"/>
      <c r="P647" s="297"/>
      <c r="Q647" s="384"/>
      <c r="R647" s="222">
        <f t="shared" si="16"/>
        <v>0</v>
      </c>
      <c r="S647" s="347"/>
      <c r="T647" s="347"/>
      <c r="U647" s="347"/>
      <c r="V647" s="347"/>
    </row>
    <row r="648" spans="1:30" s="45" customFormat="1" ht="15.6" outlineLevel="1" x14ac:dyDescent="0.3">
      <c r="A648" s="330"/>
      <c r="B648" s="304"/>
      <c r="C648" s="241"/>
      <c r="D648" s="218"/>
      <c r="E648" s="217" t="s">
        <v>574</v>
      </c>
      <c r="F648" s="217" t="s">
        <v>519</v>
      </c>
      <c r="G648" s="218"/>
      <c r="H648" s="208" t="s">
        <v>520</v>
      </c>
      <c r="I648" s="241"/>
      <c r="J648" s="241"/>
      <c r="K648" s="250"/>
      <c r="L648" s="241"/>
      <c r="M648" s="499"/>
      <c r="N648" s="518"/>
      <c r="O648" s="296"/>
      <c r="P648" s="297"/>
      <c r="Q648" s="384"/>
      <c r="R648" s="222">
        <f t="shared" ref="R648:R653" si="18">SUM(S648,T648,U648,V648)</f>
        <v>0</v>
      </c>
      <c r="S648" s="347"/>
      <c r="T648" s="347"/>
      <c r="U648" s="347"/>
      <c r="V648" s="347"/>
      <c r="AC648" s="414"/>
      <c r="AD648" s="471"/>
    </row>
    <row r="649" spans="1:30" ht="15.6" outlineLevel="1" x14ac:dyDescent="0.3">
      <c r="A649" s="330"/>
      <c r="B649" s="304"/>
      <c r="C649" s="241"/>
      <c r="D649" s="218"/>
      <c r="E649" s="217" t="s">
        <v>574</v>
      </c>
      <c r="F649" s="217" t="s">
        <v>519</v>
      </c>
      <c r="G649" s="218"/>
      <c r="H649" s="208" t="s">
        <v>520</v>
      </c>
      <c r="I649" s="241"/>
      <c r="J649" s="241"/>
      <c r="K649" s="250"/>
      <c r="L649" s="241"/>
      <c r="M649" s="499"/>
      <c r="N649" s="518"/>
      <c r="O649" s="296"/>
      <c r="P649" s="297"/>
      <c r="Q649" s="384"/>
      <c r="R649" s="222">
        <f t="shared" si="18"/>
        <v>0</v>
      </c>
      <c r="S649" s="347"/>
      <c r="T649" s="347"/>
      <c r="U649" s="347"/>
      <c r="V649" s="347"/>
    </row>
    <row r="650" spans="1:30" ht="15.6" outlineLevel="1" x14ac:dyDescent="0.3">
      <c r="A650" s="330"/>
      <c r="B650" s="304"/>
      <c r="C650" s="241"/>
      <c r="D650" s="218"/>
      <c r="E650" s="217" t="s">
        <v>574</v>
      </c>
      <c r="F650" s="217" t="s">
        <v>519</v>
      </c>
      <c r="G650" s="218"/>
      <c r="H650" s="208" t="s">
        <v>520</v>
      </c>
      <c r="I650" s="241"/>
      <c r="J650" s="241"/>
      <c r="K650" s="250"/>
      <c r="L650" s="241"/>
      <c r="M650" s="499"/>
      <c r="N650" s="518"/>
      <c r="O650" s="296"/>
      <c r="P650" s="297"/>
      <c r="Q650" s="384"/>
      <c r="R650" s="222">
        <f t="shared" si="18"/>
        <v>0</v>
      </c>
      <c r="S650" s="347"/>
      <c r="T650" s="347"/>
      <c r="U650" s="347"/>
      <c r="V650" s="347"/>
    </row>
    <row r="651" spans="1:30" ht="15.6" outlineLevel="1" x14ac:dyDescent="0.3">
      <c r="A651" s="330"/>
      <c r="B651" s="304"/>
      <c r="C651" s="241"/>
      <c r="D651" s="218"/>
      <c r="E651" s="217" t="s">
        <v>574</v>
      </c>
      <c r="F651" s="217" t="s">
        <v>519</v>
      </c>
      <c r="G651" s="218"/>
      <c r="H651" s="208" t="s">
        <v>520</v>
      </c>
      <c r="I651" s="241"/>
      <c r="J651" s="241"/>
      <c r="K651" s="250"/>
      <c r="L651" s="241"/>
      <c r="M651" s="499"/>
      <c r="N651" s="518"/>
      <c r="O651" s="296"/>
      <c r="P651" s="297"/>
      <c r="Q651" s="384"/>
      <c r="R651" s="222">
        <f t="shared" si="18"/>
        <v>0</v>
      </c>
      <c r="S651" s="347"/>
      <c r="T651" s="347"/>
      <c r="U651" s="347"/>
      <c r="V651" s="347"/>
    </row>
    <row r="652" spans="1:30" ht="15.6" outlineLevel="1" x14ac:dyDescent="0.3">
      <c r="A652" s="330"/>
      <c r="B652" s="304"/>
      <c r="C652" s="241"/>
      <c r="D652" s="218"/>
      <c r="E652" s="217" t="s">
        <v>574</v>
      </c>
      <c r="F652" s="217" t="s">
        <v>519</v>
      </c>
      <c r="G652" s="218"/>
      <c r="H652" s="208" t="s">
        <v>520</v>
      </c>
      <c r="I652" s="241"/>
      <c r="J652" s="241"/>
      <c r="K652" s="250"/>
      <c r="L652" s="241"/>
      <c r="M652" s="499"/>
      <c r="N652" s="518"/>
      <c r="O652" s="296"/>
      <c r="P652" s="297"/>
      <c r="Q652" s="384"/>
      <c r="R652" s="222">
        <f t="shared" si="18"/>
        <v>0</v>
      </c>
      <c r="S652" s="347"/>
      <c r="T652" s="347"/>
      <c r="U652" s="347"/>
      <c r="V652" s="347"/>
    </row>
    <row r="653" spans="1:30" ht="15.6" outlineLevel="1" x14ac:dyDescent="0.3">
      <c r="A653" s="330"/>
      <c r="B653" s="304"/>
      <c r="C653" s="241"/>
      <c r="D653" s="218"/>
      <c r="E653" s="217" t="s">
        <v>574</v>
      </c>
      <c r="F653" s="217" t="s">
        <v>519</v>
      </c>
      <c r="G653" s="218"/>
      <c r="H653" s="208" t="s">
        <v>520</v>
      </c>
      <c r="I653" s="241"/>
      <c r="J653" s="241"/>
      <c r="K653" s="250"/>
      <c r="L653" s="241"/>
      <c r="M653" s="499"/>
      <c r="N653" s="518"/>
      <c r="O653" s="296"/>
      <c r="P653" s="297"/>
      <c r="Q653" s="384"/>
      <c r="R653" s="222">
        <f t="shared" si="18"/>
        <v>0</v>
      </c>
      <c r="S653" s="347"/>
      <c r="T653" s="347"/>
      <c r="U653" s="347"/>
      <c r="V653" s="347"/>
    </row>
    <row r="654" spans="1:30" s="45" customFormat="1" ht="16.2" x14ac:dyDescent="0.35">
      <c r="A654" s="240" t="s">
        <v>664</v>
      </c>
      <c r="B654" s="232"/>
      <c r="C654" s="241"/>
      <c r="D654" s="241"/>
      <c r="E654" s="241"/>
      <c r="F654" s="258"/>
      <c r="G654" s="259"/>
      <c r="H654" s="232"/>
      <c r="I654" s="260"/>
      <c r="J654" s="258"/>
      <c r="K654" s="286"/>
      <c r="L654" s="303"/>
      <c r="M654" s="512"/>
      <c r="N654" s="518" t="s">
        <v>249</v>
      </c>
      <c r="O654" s="348">
        <v>244</v>
      </c>
      <c r="P654" s="349">
        <v>343</v>
      </c>
      <c r="Q654" s="393"/>
      <c r="R654" s="229">
        <f>SUM(R655,R658,R667,R661,R664,R670,R675)</f>
        <v>0</v>
      </c>
      <c r="S654" s="229">
        <f>SUM(S655,S658,S667,S661,S664,S670,S675)</f>
        <v>0</v>
      </c>
      <c r="T654" s="229">
        <f>SUM(T655,T658,T667,T661,T664,T670,T675)</f>
        <v>0</v>
      </c>
      <c r="U654" s="229">
        <f>SUM(U655,U658,U667,U661,U664,U670,U675)</f>
        <v>0</v>
      </c>
      <c r="V654" s="229">
        <f>SUM(V655,V658,V667,V661,V664,V670,V675)</f>
        <v>0</v>
      </c>
      <c r="AB654" s="63"/>
      <c r="AC654" s="414"/>
      <c r="AD654" s="471"/>
    </row>
    <row r="655" spans="1:30" s="45" customFormat="1" ht="15.75" customHeight="1" outlineLevel="1" x14ac:dyDescent="0.35">
      <c r="A655" s="247" t="s">
        <v>548</v>
      </c>
      <c r="B655" s="237"/>
      <c r="C655" s="241"/>
      <c r="D655" s="241"/>
      <c r="E655" s="241"/>
      <c r="F655" s="258"/>
      <c r="G655" s="259"/>
      <c r="H655" s="232"/>
      <c r="I655" s="260"/>
      <c r="J655" s="258"/>
      <c r="K655" s="286"/>
      <c r="L655" s="241"/>
      <c r="M655" s="499"/>
      <c r="N655" s="518"/>
      <c r="O655" s="296"/>
      <c r="P655" s="297"/>
      <c r="Q655" s="384">
        <v>12</v>
      </c>
      <c r="R655" s="229">
        <f>SUM(S655,T655,U655,V655)</f>
        <v>0</v>
      </c>
      <c r="S655" s="229"/>
      <c r="T655" s="229"/>
      <c r="U655" s="229"/>
      <c r="V655" s="229"/>
      <c r="AB655" s="63">
        <f>SUM(AC654,AC706,AC914,AC950)</f>
        <v>0</v>
      </c>
      <c r="AC655" s="414"/>
      <c r="AD655" s="471"/>
    </row>
    <row r="656" spans="1:30" s="45" customFormat="1" ht="15.75" customHeight="1" outlineLevel="1" x14ac:dyDescent="0.3">
      <c r="A656" s="290" t="s">
        <v>622</v>
      </c>
      <c r="B656" s="304"/>
      <c r="C656" s="337"/>
      <c r="D656" s="217" t="s">
        <v>665</v>
      </c>
      <c r="E656" s="605"/>
      <c r="F656" s="217" t="s">
        <v>666</v>
      </c>
      <c r="G656" s="399">
        <v>41.62</v>
      </c>
      <c r="H656" s="217" t="s">
        <v>520</v>
      </c>
      <c r="I656" s="219"/>
      <c r="J656" s="217"/>
      <c r="K656" s="250"/>
      <c r="L656" s="217"/>
      <c r="M656" s="494"/>
      <c r="N656" s="535"/>
      <c r="O656" s="221"/>
      <c r="P656" s="220"/>
      <c r="Q656" s="381"/>
      <c r="R656" s="222" t="s">
        <v>37</v>
      </c>
      <c r="S656" s="222" t="s">
        <v>37</v>
      </c>
      <c r="T656" s="222" t="s">
        <v>37</v>
      </c>
      <c r="U656" s="222" t="s">
        <v>37</v>
      </c>
      <c r="V656" s="222" t="s">
        <v>37</v>
      </c>
      <c r="AC656" s="414"/>
      <c r="AD656" s="471"/>
    </row>
    <row r="657" spans="1:30" ht="15.75" customHeight="1" outlineLevel="1" x14ac:dyDescent="0.3">
      <c r="A657" s="290"/>
      <c r="B657" s="217"/>
      <c r="C657" s="337"/>
      <c r="D657" s="217" t="s">
        <v>667</v>
      </c>
      <c r="E657" s="605"/>
      <c r="F657" s="217" t="s">
        <v>666</v>
      </c>
      <c r="G657" s="399">
        <v>43.69</v>
      </c>
      <c r="H657" s="217" t="s">
        <v>520</v>
      </c>
      <c r="I657" s="219"/>
      <c r="J657" s="217"/>
      <c r="K657" s="250"/>
      <c r="L657" s="217"/>
      <c r="M657" s="494"/>
      <c r="N657" s="535"/>
      <c r="O657" s="221"/>
      <c r="P657" s="220"/>
      <c r="Q657" s="381"/>
      <c r="R657" s="222" t="s">
        <v>37</v>
      </c>
      <c r="S657" s="222" t="s">
        <v>37</v>
      </c>
      <c r="T657" s="222" t="s">
        <v>37</v>
      </c>
      <c r="U657" s="222" t="s">
        <v>37</v>
      </c>
      <c r="V657" s="222" t="s">
        <v>37</v>
      </c>
    </row>
    <row r="658" spans="1:30" ht="15.75" customHeight="1" outlineLevel="1" x14ac:dyDescent="0.35">
      <c r="A658" s="247" t="s">
        <v>548</v>
      </c>
      <c r="B658" s="237"/>
      <c r="C658" s="241"/>
      <c r="D658" s="241"/>
      <c r="E658" s="408"/>
      <c r="F658" s="258"/>
      <c r="G658" s="259"/>
      <c r="H658" s="232"/>
      <c r="I658" s="260"/>
      <c r="J658" s="258"/>
      <c r="K658" s="286"/>
      <c r="L658" s="241"/>
      <c r="M658" s="499"/>
      <c r="N658" s="518"/>
      <c r="O658" s="296"/>
      <c r="P658" s="297"/>
      <c r="Q658" s="384">
        <v>12</v>
      </c>
      <c r="R658" s="229">
        <f>SUM(S658,T658,U658,V658)</f>
        <v>0</v>
      </c>
      <c r="S658" s="229"/>
      <c r="T658" s="229"/>
      <c r="U658" s="229"/>
      <c r="V658" s="229"/>
    </row>
    <row r="659" spans="1:30" s="45" customFormat="1" ht="15.75" customHeight="1" outlineLevel="1" x14ac:dyDescent="0.3">
      <c r="A659" s="290" t="s">
        <v>622</v>
      </c>
      <c r="B659" s="304"/>
      <c r="C659" s="337"/>
      <c r="D659" s="217" t="s">
        <v>665</v>
      </c>
      <c r="E659" s="605"/>
      <c r="F659" s="217" t="s">
        <v>666</v>
      </c>
      <c r="G659" s="399">
        <v>44.94</v>
      </c>
      <c r="H659" s="217" t="s">
        <v>520</v>
      </c>
      <c r="I659" s="219"/>
      <c r="J659" s="217"/>
      <c r="K659" s="250"/>
      <c r="L659" s="217"/>
      <c r="M659" s="494"/>
      <c r="N659" s="535"/>
      <c r="O659" s="221"/>
      <c r="P659" s="220"/>
      <c r="Q659" s="381"/>
      <c r="R659" s="222" t="s">
        <v>37</v>
      </c>
      <c r="S659" s="222" t="s">
        <v>37</v>
      </c>
      <c r="T659" s="222" t="s">
        <v>37</v>
      </c>
      <c r="U659" s="222" t="s">
        <v>37</v>
      </c>
      <c r="V659" s="222" t="s">
        <v>37</v>
      </c>
      <c r="AC659" s="414"/>
      <c r="AD659" s="471"/>
    </row>
    <row r="660" spans="1:30" ht="15.75" customHeight="1" outlineLevel="1" x14ac:dyDescent="0.3">
      <c r="A660" s="290"/>
      <c r="B660" s="217"/>
      <c r="C660" s="337"/>
      <c r="D660" s="217" t="s">
        <v>667</v>
      </c>
      <c r="E660" s="605"/>
      <c r="F660" s="217" t="s">
        <v>666</v>
      </c>
      <c r="G660" s="399">
        <v>47.35</v>
      </c>
      <c r="H660" s="217" t="s">
        <v>520</v>
      </c>
      <c r="I660" s="219"/>
      <c r="J660" s="217"/>
      <c r="K660" s="250"/>
      <c r="L660" s="217"/>
      <c r="M660" s="494"/>
      <c r="N660" s="535"/>
      <c r="O660" s="221"/>
      <c r="P660" s="220"/>
      <c r="Q660" s="381"/>
      <c r="R660" s="222" t="s">
        <v>37</v>
      </c>
      <c r="S660" s="222" t="s">
        <v>37</v>
      </c>
      <c r="T660" s="222" t="s">
        <v>37</v>
      </c>
      <c r="U660" s="222" t="s">
        <v>37</v>
      </c>
      <c r="V660" s="222" t="s">
        <v>37</v>
      </c>
    </row>
    <row r="661" spans="1:30" ht="15.75" customHeight="1" outlineLevel="1" x14ac:dyDescent="0.35">
      <c r="A661" s="247" t="s">
        <v>548</v>
      </c>
      <c r="B661" s="237"/>
      <c r="C661" s="241"/>
      <c r="D661" s="241"/>
      <c r="E661" s="408"/>
      <c r="F661" s="258"/>
      <c r="G661" s="259"/>
      <c r="H661" s="232"/>
      <c r="I661" s="260"/>
      <c r="J661" s="258"/>
      <c r="K661" s="286"/>
      <c r="L661" s="241"/>
      <c r="M661" s="499"/>
      <c r="N661" s="518"/>
      <c r="O661" s="296"/>
      <c r="P661" s="297"/>
      <c r="Q661" s="384">
        <v>12</v>
      </c>
      <c r="R661" s="229">
        <f>SUM(S661,T661,U661,V661)</f>
        <v>0</v>
      </c>
      <c r="S661" s="229"/>
      <c r="T661" s="229"/>
      <c r="U661" s="229"/>
      <c r="V661" s="229"/>
    </row>
    <row r="662" spans="1:30" s="45" customFormat="1" ht="15.75" customHeight="1" outlineLevel="1" x14ac:dyDescent="0.3">
      <c r="A662" s="290" t="s">
        <v>622</v>
      </c>
      <c r="B662" s="304"/>
      <c r="C662" s="337"/>
      <c r="D662" s="217" t="s">
        <v>665</v>
      </c>
      <c r="E662" s="605"/>
      <c r="F662" s="217" t="s">
        <v>666</v>
      </c>
      <c r="G662" s="399">
        <v>41.62</v>
      </c>
      <c r="H662" s="217" t="s">
        <v>520</v>
      </c>
      <c r="I662" s="219"/>
      <c r="J662" s="217"/>
      <c r="K662" s="250"/>
      <c r="L662" s="217"/>
      <c r="M662" s="494"/>
      <c r="N662" s="535"/>
      <c r="O662" s="221"/>
      <c r="P662" s="220"/>
      <c r="Q662" s="381"/>
      <c r="R662" s="222" t="s">
        <v>37</v>
      </c>
      <c r="S662" s="222" t="s">
        <v>37</v>
      </c>
      <c r="T662" s="222" t="s">
        <v>37</v>
      </c>
      <c r="U662" s="222" t="s">
        <v>37</v>
      </c>
      <c r="V662" s="222" t="s">
        <v>37</v>
      </c>
      <c r="AC662" s="414"/>
      <c r="AD662" s="471"/>
    </row>
    <row r="663" spans="1:30" ht="15.75" customHeight="1" outlineLevel="1" x14ac:dyDescent="0.3">
      <c r="A663" s="290"/>
      <c r="B663" s="217"/>
      <c r="C663" s="337"/>
      <c r="D663" s="217" t="s">
        <v>667</v>
      </c>
      <c r="E663" s="605"/>
      <c r="F663" s="217" t="s">
        <v>666</v>
      </c>
      <c r="G663" s="399">
        <v>43.69</v>
      </c>
      <c r="H663" s="217" t="s">
        <v>520</v>
      </c>
      <c r="I663" s="219"/>
      <c r="J663" s="217"/>
      <c r="K663" s="250"/>
      <c r="L663" s="217"/>
      <c r="M663" s="494"/>
      <c r="N663" s="535"/>
      <c r="O663" s="221"/>
      <c r="P663" s="220"/>
      <c r="Q663" s="381"/>
      <c r="R663" s="222" t="s">
        <v>37</v>
      </c>
      <c r="S663" s="222" t="s">
        <v>37</v>
      </c>
      <c r="T663" s="222" t="s">
        <v>37</v>
      </c>
      <c r="U663" s="222" t="s">
        <v>37</v>
      </c>
      <c r="V663" s="222" t="s">
        <v>37</v>
      </c>
    </row>
    <row r="664" spans="1:30" ht="15.75" customHeight="1" outlineLevel="1" x14ac:dyDescent="0.35">
      <c r="A664" s="247" t="s">
        <v>548</v>
      </c>
      <c r="B664" s="237"/>
      <c r="C664" s="241"/>
      <c r="D664" s="241"/>
      <c r="E664" s="408"/>
      <c r="F664" s="258"/>
      <c r="G664" s="259"/>
      <c r="H664" s="232"/>
      <c r="I664" s="260"/>
      <c r="J664" s="258"/>
      <c r="K664" s="286"/>
      <c r="L664" s="241"/>
      <c r="M664" s="499"/>
      <c r="N664" s="518"/>
      <c r="O664" s="296"/>
      <c r="P664" s="297"/>
      <c r="Q664" s="384">
        <v>12</v>
      </c>
      <c r="R664" s="229">
        <f>SUM(S664,T664,U664,V664)</f>
        <v>0</v>
      </c>
      <c r="S664" s="229"/>
      <c r="T664" s="229"/>
      <c r="U664" s="229"/>
      <c r="V664" s="229"/>
    </row>
    <row r="665" spans="1:30" s="45" customFormat="1" ht="15.75" customHeight="1" outlineLevel="1" x14ac:dyDescent="0.3">
      <c r="A665" s="290" t="s">
        <v>622</v>
      </c>
      <c r="B665" s="304"/>
      <c r="C665" s="337"/>
      <c r="D665" s="217" t="s">
        <v>665</v>
      </c>
      <c r="E665" s="605"/>
      <c r="F665" s="217" t="s">
        <v>666</v>
      </c>
      <c r="G665" s="399">
        <v>44.94</v>
      </c>
      <c r="H665" s="217" t="s">
        <v>520</v>
      </c>
      <c r="I665" s="219"/>
      <c r="J665" s="217"/>
      <c r="K665" s="250"/>
      <c r="L665" s="217"/>
      <c r="M665" s="494"/>
      <c r="N665" s="535"/>
      <c r="O665" s="221"/>
      <c r="P665" s="220"/>
      <c r="Q665" s="381"/>
      <c r="R665" s="222" t="s">
        <v>37</v>
      </c>
      <c r="S665" s="222" t="s">
        <v>37</v>
      </c>
      <c r="T665" s="222" t="s">
        <v>37</v>
      </c>
      <c r="U665" s="222" t="s">
        <v>37</v>
      </c>
      <c r="V665" s="222" t="s">
        <v>37</v>
      </c>
      <c r="AC665" s="414"/>
      <c r="AD665" s="471"/>
    </row>
    <row r="666" spans="1:30" ht="15.75" customHeight="1" outlineLevel="1" x14ac:dyDescent="0.3">
      <c r="A666" s="290"/>
      <c r="B666" s="217"/>
      <c r="C666" s="337"/>
      <c r="D666" s="217" t="s">
        <v>667</v>
      </c>
      <c r="E666" s="605"/>
      <c r="F666" s="217" t="s">
        <v>666</v>
      </c>
      <c r="G666" s="399">
        <v>47.35</v>
      </c>
      <c r="H666" s="217" t="s">
        <v>520</v>
      </c>
      <c r="I666" s="219"/>
      <c r="J666" s="217"/>
      <c r="K666" s="250"/>
      <c r="L666" s="217"/>
      <c r="M666" s="494"/>
      <c r="N666" s="535"/>
      <c r="O666" s="221"/>
      <c r="P666" s="220"/>
      <c r="Q666" s="381"/>
      <c r="R666" s="222" t="s">
        <v>37</v>
      </c>
      <c r="S666" s="222" t="s">
        <v>37</v>
      </c>
      <c r="T666" s="222" t="s">
        <v>37</v>
      </c>
      <c r="U666" s="222" t="s">
        <v>37</v>
      </c>
      <c r="V666" s="222" t="s">
        <v>37</v>
      </c>
    </row>
    <row r="667" spans="1:30" ht="15.75" customHeight="1" outlineLevel="1" x14ac:dyDescent="0.35">
      <c r="A667" s="247" t="s">
        <v>548</v>
      </c>
      <c r="B667" s="237"/>
      <c r="C667" s="241"/>
      <c r="D667" s="241"/>
      <c r="E667" s="408"/>
      <c r="F667" s="258"/>
      <c r="G667" s="259"/>
      <c r="H667" s="232"/>
      <c r="I667" s="260"/>
      <c r="J667" s="258"/>
      <c r="K667" s="286"/>
      <c r="L667" s="241"/>
      <c r="M667" s="499"/>
      <c r="N667" s="518"/>
      <c r="O667" s="296"/>
      <c r="P667" s="297"/>
      <c r="Q667" s="384">
        <v>12</v>
      </c>
      <c r="R667" s="229">
        <f>SUM(S667,T667,U667,V667)</f>
        <v>0</v>
      </c>
      <c r="S667" s="229"/>
      <c r="T667" s="229"/>
      <c r="U667" s="229"/>
      <c r="V667" s="229"/>
    </row>
    <row r="668" spans="1:30" s="45" customFormat="1" ht="15.75" customHeight="1" outlineLevel="1" x14ac:dyDescent="0.3">
      <c r="A668" s="290" t="s">
        <v>622</v>
      </c>
      <c r="B668" s="304"/>
      <c r="C668" s="337"/>
      <c r="D668" s="217" t="s">
        <v>665</v>
      </c>
      <c r="E668" s="605"/>
      <c r="F668" s="217" t="s">
        <v>666</v>
      </c>
      <c r="G668" s="399">
        <v>41.62</v>
      </c>
      <c r="H668" s="217" t="s">
        <v>520</v>
      </c>
      <c r="I668" s="219"/>
      <c r="J668" s="217"/>
      <c r="K668" s="250"/>
      <c r="L668" s="217"/>
      <c r="M668" s="494"/>
      <c r="N668" s="535"/>
      <c r="O668" s="221"/>
      <c r="P668" s="220"/>
      <c r="Q668" s="381"/>
      <c r="R668" s="222" t="s">
        <v>37</v>
      </c>
      <c r="S668" s="222" t="s">
        <v>37</v>
      </c>
      <c r="T668" s="222" t="s">
        <v>37</v>
      </c>
      <c r="U668" s="222" t="s">
        <v>37</v>
      </c>
      <c r="V668" s="222" t="s">
        <v>37</v>
      </c>
      <c r="AC668" s="414"/>
      <c r="AD668" s="471"/>
    </row>
    <row r="669" spans="1:30" ht="15.75" customHeight="1" outlineLevel="1" x14ac:dyDescent="0.3">
      <c r="A669" s="290"/>
      <c r="B669" s="217"/>
      <c r="C669" s="337"/>
      <c r="D669" s="217" t="s">
        <v>667</v>
      </c>
      <c r="E669" s="605"/>
      <c r="F669" s="217" t="s">
        <v>666</v>
      </c>
      <c r="G669" s="399">
        <v>43.69</v>
      </c>
      <c r="H669" s="217" t="s">
        <v>520</v>
      </c>
      <c r="I669" s="219"/>
      <c r="J669" s="217"/>
      <c r="K669" s="250"/>
      <c r="L669" s="217"/>
      <c r="M669" s="494"/>
      <c r="N669" s="535"/>
      <c r="O669" s="221"/>
      <c r="P669" s="220"/>
      <c r="Q669" s="381"/>
      <c r="R669" s="222" t="s">
        <v>37</v>
      </c>
      <c r="S669" s="222" t="s">
        <v>37</v>
      </c>
      <c r="T669" s="222" t="s">
        <v>37</v>
      </c>
      <c r="U669" s="222" t="s">
        <v>37</v>
      </c>
      <c r="V669" s="222" t="s">
        <v>37</v>
      </c>
    </row>
    <row r="670" spans="1:30" s="279" customFormat="1" ht="15.75" customHeight="1" outlineLevel="1" x14ac:dyDescent="0.35">
      <c r="A670" s="231" t="s">
        <v>734</v>
      </c>
      <c r="B670" s="241"/>
      <c r="C670" s="241"/>
      <c r="D670" s="317">
        <f>SUM(D671:D674)</f>
        <v>0</v>
      </c>
      <c r="E670" s="217" t="s">
        <v>740</v>
      </c>
      <c r="F670" s="217" t="s">
        <v>519</v>
      </c>
      <c r="G670" s="317" t="e">
        <f>AVERAGE(G671,G672,G673,G674)</f>
        <v>#DIV/0!</v>
      </c>
      <c r="H670" s="208" t="s">
        <v>520</v>
      </c>
      <c r="I670" s="260"/>
      <c r="J670" s="258"/>
      <c r="K670" s="286"/>
      <c r="L670" s="468"/>
      <c r="M670" s="513"/>
      <c r="N670" s="518"/>
      <c r="O670" s="348">
        <v>244</v>
      </c>
      <c r="P670" s="349">
        <v>343</v>
      </c>
      <c r="Q670" s="393"/>
      <c r="R670" s="229">
        <f t="shared" ref="R670:R679" si="19">SUM(S670,T670,U670,V670)</f>
        <v>0</v>
      </c>
      <c r="S670" s="229">
        <f>SUM(S671:S674)</f>
        <v>0</v>
      </c>
      <c r="T670" s="229">
        <f>SUM(T671:T674)</f>
        <v>0</v>
      </c>
      <c r="U670" s="229">
        <f>SUM(U671:U674)</f>
        <v>0</v>
      </c>
      <c r="V670" s="229">
        <f>SUM(V671:V674)</f>
        <v>0</v>
      </c>
      <c r="AC670" s="414"/>
      <c r="AD670" s="471"/>
    </row>
    <row r="671" spans="1:30" s="279" customFormat="1" ht="15.75" customHeight="1" outlineLevel="1" x14ac:dyDescent="0.35">
      <c r="A671" s="231"/>
      <c r="B671" s="241"/>
      <c r="C671" s="241"/>
      <c r="D671" s="218"/>
      <c r="E671" s="217" t="s">
        <v>740</v>
      </c>
      <c r="F671" s="217" t="s">
        <v>519</v>
      </c>
      <c r="G671" s="218"/>
      <c r="H671" s="208" t="s">
        <v>520</v>
      </c>
      <c r="I671" s="260"/>
      <c r="J671" s="258"/>
      <c r="K671" s="286"/>
      <c r="L671" s="468"/>
      <c r="M671" s="513"/>
      <c r="N671" s="518"/>
      <c r="O671" s="348"/>
      <c r="P671" s="349"/>
      <c r="Q671" s="393"/>
      <c r="R671" s="222">
        <f t="shared" si="19"/>
        <v>0</v>
      </c>
      <c r="S671" s="222"/>
      <c r="T671" s="222"/>
      <c r="U671" s="222"/>
      <c r="V671" s="222"/>
      <c r="AC671" s="414"/>
      <c r="AD671" s="471"/>
    </row>
    <row r="672" spans="1:30" s="279" customFormat="1" ht="15.75" customHeight="1" outlineLevel="1" x14ac:dyDescent="0.35">
      <c r="A672" s="231"/>
      <c r="B672" s="241"/>
      <c r="C672" s="241"/>
      <c r="D672" s="218"/>
      <c r="E672" s="217" t="s">
        <v>740</v>
      </c>
      <c r="F672" s="217" t="s">
        <v>519</v>
      </c>
      <c r="G672" s="218"/>
      <c r="H672" s="208" t="s">
        <v>520</v>
      </c>
      <c r="I672" s="260"/>
      <c r="J672" s="258"/>
      <c r="K672" s="286"/>
      <c r="L672" s="468"/>
      <c r="M672" s="513"/>
      <c r="N672" s="518"/>
      <c r="O672" s="348"/>
      <c r="P672" s="349"/>
      <c r="Q672" s="393"/>
      <c r="R672" s="222">
        <f t="shared" si="19"/>
        <v>0</v>
      </c>
      <c r="S672" s="222"/>
      <c r="T672" s="222"/>
      <c r="U672" s="222"/>
      <c r="V672" s="222"/>
      <c r="AC672" s="414"/>
      <c r="AD672" s="471"/>
    </row>
    <row r="673" spans="1:30" s="279" customFormat="1" ht="15.75" customHeight="1" outlineLevel="1" x14ac:dyDescent="0.35">
      <c r="A673" s="231"/>
      <c r="B673" s="241"/>
      <c r="C673" s="241"/>
      <c r="D673" s="218"/>
      <c r="E673" s="217" t="s">
        <v>740</v>
      </c>
      <c r="F673" s="217" t="s">
        <v>519</v>
      </c>
      <c r="G673" s="218"/>
      <c r="H673" s="208" t="s">
        <v>520</v>
      </c>
      <c r="I673" s="260"/>
      <c r="J673" s="258"/>
      <c r="K673" s="286"/>
      <c r="L673" s="468"/>
      <c r="M673" s="513"/>
      <c r="N673" s="518"/>
      <c r="O673" s="348"/>
      <c r="P673" s="349"/>
      <c r="Q673" s="393"/>
      <c r="R673" s="222">
        <f t="shared" si="19"/>
        <v>0</v>
      </c>
      <c r="S673" s="222"/>
      <c r="T673" s="222"/>
      <c r="U673" s="222"/>
      <c r="V673" s="222"/>
      <c r="AC673" s="414"/>
      <c r="AD673" s="471"/>
    </row>
    <row r="674" spans="1:30" s="279" customFormat="1" ht="15.75" customHeight="1" outlineLevel="1" x14ac:dyDescent="0.35">
      <c r="A674" s="231"/>
      <c r="B674" s="241"/>
      <c r="C674" s="241"/>
      <c r="D674" s="218"/>
      <c r="E674" s="217" t="s">
        <v>740</v>
      </c>
      <c r="F674" s="217" t="s">
        <v>519</v>
      </c>
      <c r="G674" s="218"/>
      <c r="H674" s="208" t="s">
        <v>520</v>
      </c>
      <c r="I674" s="260"/>
      <c r="J674" s="258"/>
      <c r="K674" s="286"/>
      <c r="L674" s="468"/>
      <c r="M674" s="513"/>
      <c r="N674" s="518"/>
      <c r="O674" s="348"/>
      <c r="P674" s="349"/>
      <c r="Q674" s="393"/>
      <c r="R674" s="222">
        <f t="shared" si="19"/>
        <v>0</v>
      </c>
      <c r="S674" s="222"/>
      <c r="T674" s="222"/>
      <c r="U674" s="222"/>
      <c r="V674" s="222"/>
      <c r="AC674" s="414"/>
      <c r="AD674" s="471"/>
    </row>
    <row r="675" spans="1:30" s="279" customFormat="1" ht="15.75" customHeight="1" outlineLevel="1" x14ac:dyDescent="0.35">
      <c r="A675" s="231" t="s">
        <v>735</v>
      </c>
      <c r="B675" s="241"/>
      <c r="C675" s="241"/>
      <c r="D675" s="218">
        <f>SUM(D676:D679)</f>
        <v>0</v>
      </c>
      <c r="E675" s="217" t="s">
        <v>574</v>
      </c>
      <c r="F675" s="217" t="s">
        <v>519</v>
      </c>
      <c r="G675" s="218" t="e">
        <f>AVERAGE(G676,G677,G678,G679)</f>
        <v>#DIV/0!</v>
      </c>
      <c r="H675" s="208" t="s">
        <v>520</v>
      </c>
      <c r="I675" s="260"/>
      <c r="J675" s="258"/>
      <c r="K675" s="286"/>
      <c r="L675" s="468"/>
      <c r="M675" s="513"/>
      <c r="N675" s="518"/>
      <c r="O675" s="348">
        <v>244</v>
      </c>
      <c r="P675" s="349">
        <v>343</v>
      </c>
      <c r="Q675" s="393"/>
      <c r="R675" s="229">
        <f t="shared" si="19"/>
        <v>0</v>
      </c>
      <c r="S675" s="229">
        <f>SUM(S676:S679)</f>
        <v>0</v>
      </c>
      <c r="T675" s="229">
        <f>SUM(T676:T679)</f>
        <v>0</v>
      </c>
      <c r="U675" s="229">
        <f>SUM(U676:U679)</f>
        <v>0</v>
      </c>
      <c r="V675" s="229">
        <f>SUM(V676:V679)</f>
        <v>0</v>
      </c>
      <c r="AC675" s="414"/>
      <c r="AD675" s="471"/>
    </row>
    <row r="676" spans="1:30" s="279" customFormat="1" ht="15.75" customHeight="1" outlineLevel="1" x14ac:dyDescent="0.35">
      <c r="A676" s="231"/>
      <c r="B676" s="241"/>
      <c r="C676" s="241"/>
      <c r="D676" s="218"/>
      <c r="E676" s="217" t="s">
        <v>574</v>
      </c>
      <c r="F676" s="217" t="s">
        <v>519</v>
      </c>
      <c r="G676" s="218"/>
      <c r="H676" s="208" t="s">
        <v>520</v>
      </c>
      <c r="I676" s="260"/>
      <c r="J676" s="258"/>
      <c r="K676" s="286"/>
      <c r="L676" s="468"/>
      <c r="M676" s="513"/>
      <c r="N676" s="518"/>
      <c r="O676" s="348"/>
      <c r="P676" s="349"/>
      <c r="Q676" s="393"/>
      <c r="R676" s="222">
        <f t="shared" si="19"/>
        <v>0</v>
      </c>
      <c r="S676" s="222"/>
      <c r="T676" s="222"/>
      <c r="U676" s="222"/>
      <c r="V676" s="222"/>
      <c r="AC676" s="414"/>
      <c r="AD676" s="471"/>
    </row>
    <row r="677" spans="1:30" s="279" customFormat="1" ht="15.75" customHeight="1" outlineLevel="1" x14ac:dyDescent="0.35">
      <c r="A677" s="231"/>
      <c r="B677" s="241"/>
      <c r="C677" s="241"/>
      <c r="D677" s="218"/>
      <c r="E677" s="217" t="s">
        <v>574</v>
      </c>
      <c r="F677" s="217" t="s">
        <v>519</v>
      </c>
      <c r="G677" s="218"/>
      <c r="H677" s="208" t="s">
        <v>520</v>
      </c>
      <c r="I677" s="260"/>
      <c r="J677" s="258"/>
      <c r="K677" s="286"/>
      <c r="L677" s="468"/>
      <c r="M677" s="513"/>
      <c r="N677" s="518"/>
      <c r="O677" s="348"/>
      <c r="P677" s="349"/>
      <c r="Q677" s="393"/>
      <c r="R677" s="222">
        <f t="shared" si="19"/>
        <v>0</v>
      </c>
      <c r="S677" s="222"/>
      <c r="T677" s="222"/>
      <c r="U677" s="222"/>
      <c r="V677" s="222"/>
      <c r="AC677" s="414"/>
      <c r="AD677" s="471"/>
    </row>
    <row r="678" spans="1:30" s="279" customFormat="1" ht="15.75" customHeight="1" outlineLevel="1" x14ac:dyDescent="0.35">
      <c r="A678" s="231"/>
      <c r="B678" s="241"/>
      <c r="C678" s="241"/>
      <c r="D678" s="218"/>
      <c r="E678" s="217" t="s">
        <v>574</v>
      </c>
      <c r="F678" s="217" t="s">
        <v>519</v>
      </c>
      <c r="G678" s="218"/>
      <c r="H678" s="208" t="s">
        <v>520</v>
      </c>
      <c r="I678" s="260"/>
      <c r="J678" s="258"/>
      <c r="K678" s="286"/>
      <c r="L678" s="468"/>
      <c r="M678" s="513"/>
      <c r="N678" s="518"/>
      <c r="O678" s="348"/>
      <c r="P678" s="349"/>
      <c r="Q678" s="393"/>
      <c r="R678" s="222">
        <f t="shared" si="19"/>
        <v>0</v>
      </c>
      <c r="S678" s="222"/>
      <c r="T678" s="222"/>
      <c r="U678" s="222"/>
      <c r="V678" s="222"/>
      <c r="AC678" s="414"/>
      <c r="AD678" s="471"/>
    </row>
    <row r="679" spans="1:30" s="279" customFormat="1" ht="15.75" customHeight="1" outlineLevel="1" x14ac:dyDescent="0.35">
      <c r="A679" s="231"/>
      <c r="B679" s="241"/>
      <c r="C679" s="241"/>
      <c r="D679" s="218"/>
      <c r="E679" s="217" t="s">
        <v>574</v>
      </c>
      <c r="F679" s="217" t="s">
        <v>519</v>
      </c>
      <c r="G679" s="218"/>
      <c r="H679" s="208" t="s">
        <v>520</v>
      </c>
      <c r="I679" s="260"/>
      <c r="J679" s="258"/>
      <c r="K679" s="286"/>
      <c r="L679" s="468"/>
      <c r="M679" s="513"/>
      <c r="N679" s="518"/>
      <c r="O679" s="348"/>
      <c r="P679" s="349"/>
      <c r="Q679" s="393"/>
      <c r="R679" s="222">
        <f t="shared" si="19"/>
        <v>0</v>
      </c>
      <c r="S679" s="222"/>
      <c r="T679" s="222"/>
      <c r="U679" s="222"/>
      <c r="V679" s="222"/>
      <c r="AC679" s="414"/>
      <c r="AD679" s="471"/>
    </row>
    <row r="680" spans="1:30" ht="16.2" x14ac:dyDescent="0.35">
      <c r="A680" s="240" t="s">
        <v>668</v>
      </c>
      <c r="B680" s="241"/>
      <c r="C680" s="241"/>
      <c r="D680" s="241"/>
      <c r="E680" s="241"/>
      <c r="F680" s="258"/>
      <c r="G680" s="259"/>
      <c r="H680" s="232"/>
      <c r="I680" s="260"/>
      <c r="J680" s="258"/>
      <c r="K680" s="286"/>
      <c r="L680" s="303"/>
      <c r="M680" s="512"/>
      <c r="N680" s="518"/>
      <c r="O680" s="348">
        <v>244</v>
      </c>
      <c r="P680" s="349"/>
      <c r="Q680" s="393"/>
      <c r="R680" s="229">
        <f>SUM(R681)</f>
        <v>0</v>
      </c>
      <c r="S680" s="229">
        <f>SUM(S681)</f>
        <v>0</v>
      </c>
      <c r="T680" s="229">
        <f>SUM(T681)</f>
        <v>0</v>
      </c>
      <c r="U680" s="229">
        <f>SUM(U681)</f>
        <v>0</v>
      </c>
      <c r="V680" s="229">
        <f>SUM(V681)</f>
        <v>0</v>
      </c>
    </row>
    <row r="681" spans="1:30" s="45" customFormat="1" ht="16.2" x14ac:dyDescent="0.35">
      <c r="A681" s="231" t="s">
        <v>669</v>
      </c>
      <c r="B681" s="232"/>
      <c r="C681" s="232"/>
      <c r="D681" s="232"/>
      <c r="E681" s="232"/>
      <c r="F681" s="258"/>
      <c r="G681" s="259"/>
      <c r="H681" s="232"/>
      <c r="I681" s="260"/>
      <c r="J681" s="258"/>
      <c r="K681" s="232"/>
      <c r="L681" s="232"/>
      <c r="M681" s="495"/>
      <c r="N681" s="536" t="s">
        <v>249</v>
      </c>
      <c r="O681" s="350">
        <v>244</v>
      </c>
      <c r="P681" s="351">
        <v>345</v>
      </c>
      <c r="Q681" s="386"/>
      <c r="R681" s="229">
        <f>SUM(R682:R704)</f>
        <v>0</v>
      </c>
      <c r="S681" s="229">
        <f>SUM(S682:S704)</f>
        <v>0</v>
      </c>
      <c r="T681" s="229">
        <f>SUM(T682:T704)</f>
        <v>0</v>
      </c>
      <c r="U681" s="229">
        <f>SUM(U682:U704)</f>
        <v>0</v>
      </c>
      <c r="V681" s="229">
        <f>SUM(V682:V704)</f>
        <v>0</v>
      </c>
      <c r="AC681" s="414"/>
      <c r="AD681" s="471"/>
    </row>
    <row r="682" spans="1:30" ht="15.6" outlineLevel="1" x14ac:dyDescent="0.3">
      <c r="A682" s="216"/>
      <c r="B682" s="337"/>
      <c r="C682" s="252"/>
      <c r="D682" s="218"/>
      <c r="E682" s="217" t="s">
        <v>574</v>
      </c>
      <c r="F682" s="217" t="s">
        <v>519</v>
      </c>
      <c r="G682" s="218"/>
      <c r="H682" s="208" t="s">
        <v>520</v>
      </c>
      <c r="I682" s="217"/>
      <c r="J682" s="217"/>
      <c r="K682" s="217"/>
      <c r="L682" s="327"/>
      <c r="M682" s="509"/>
      <c r="N682" s="539"/>
      <c r="O682" s="221"/>
      <c r="P682" s="220"/>
      <c r="Q682" s="381"/>
      <c r="R682" s="222">
        <f t="shared" ref="R682:R687" si="20">SUM(S682,T682,U682,V682)</f>
        <v>0</v>
      </c>
      <c r="S682" s="347"/>
      <c r="T682" s="222"/>
      <c r="U682" s="222"/>
      <c r="V682" s="222"/>
    </row>
    <row r="683" spans="1:30" ht="15.6" outlineLevel="1" x14ac:dyDescent="0.3">
      <c r="A683" s="216"/>
      <c r="B683" s="337"/>
      <c r="C683" s="252"/>
      <c r="D683" s="218"/>
      <c r="E683" s="217" t="s">
        <v>741</v>
      </c>
      <c r="F683" s="217" t="s">
        <v>519</v>
      </c>
      <c r="G683" s="218"/>
      <c r="H683" s="208" t="s">
        <v>520</v>
      </c>
      <c r="I683" s="217"/>
      <c r="J683" s="217"/>
      <c r="K683" s="217"/>
      <c r="L683" s="327"/>
      <c r="M683" s="509"/>
      <c r="N683" s="539"/>
      <c r="O683" s="221"/>
      <c r="P683" s="220"/>
      <c r="Q683" s="381"/>
      <c r="R683" s="222">
        <f t="shared" si="20"/>
        <v>0</v>
      </c>
      <c r="S683" s="347"/>
      <c r="T683" s="222"/>
      <c r="U683" s="222"/>
      <c r="V683" s="222"/>
    </row>
    <row r="684" spans="1:30" ht="15.6" outlineLevel="1" x14ac:dyDescent="0.3">
      <c r="A684" s="216"/>
      <c r="B684" s="337"/>
      <c r="C684" s="252"/>
      <c r="D684" s="218"/>
      <c r="E684" s="217" t="s">
        <v>741</v>
      </c>
      <c r="F684" s="217" t="s">
        <v>519</v>
      </c>
      <c r="G684" s="218"/>
      <c r="H684" s="208" t="s">
        <v>520</v>
      </c>
      <c r="I684" s="217"/>
      <c r="J684" s="217"/>
      <c r="K684" s="217"/>
      <c r="L684" s="327"/>
      <c r="M684" s="509"/>
      <c r="N684" s="539"/>
      <c r="O684" s="221"/>
      <c r="P684" s="220"/>
      <c r="Q684" s="381"/>
      <c r="R684" s="222">
        <f t="shared" si="20"/>
        <v>0</v>
      </c>
      <c r="S684" s="347"/>
      <c r="T684" s="222"/>
      <c r="U684" s="222"/>
      <c r="V684" s="222"/>
    </row>
    <row r="685" spans="1:30" ht="15.6" outlineLevel="1" x14ac:dyDescent="0.3">
      <c r="A685" s="216"/>
      <c r="B685" s="337"/>
      <c r="C685" s="252"/>
      <c r="D685" s="218"/>
      <c r="E685" s="217" t="s">
        <v>574</v>
      </c>
      <c r="F685" s="217" t="s">
        <v>519</v>
      </c>
      <c r="G685" s="218"/>
      <c r="H685" s="208" t="s">
        <v>520</v>
      </c>
      <c r="I685" s="217"/>
      <c r="J685" s="217"/>
      <c r="K685" s="217"/>
      <c r="L685" s="327"/>
      <c r="M685" s="509"/>
      <c r="N685" s="539"/>
      <c r="O685" s="221"/>
      <c r="P685" s="220"/>
      <c r="Q685" s="381"/>
      <c r="R685" s="222">
        <f t="shared" si="20"/>
        <v>0</v>
      </c>
      <c r="S685" s="347"/>
      <c r="T685" s="222"/>
      <c r="U685" s="222"/>
      <c r="V685" s="222"/>
    </row>
    <row r="686" spans="1:30" ht="15.6" outlineLevel="1" x14ac:dyDescent="0.3">
      <c r="A686" s="216"/>
      <c r="B686" s="337"/>
      <c r="C686" s="252"/>
      <c r="D686" s="218"/>
      <c r="E686" s="217" t="s">
        <v>574</v>
      </c>
      <c r="F686" s="217" t="s">
        <v>519</v>
      </c>
      <c r="G686" s="218"/>
      <c r="H686" s="208" t="s">
        <v>520</v>
      </c>
      <c r="I686" s="217"/>
      <c r="J686" s="217"/>
      <c r="K686" s="217"/>
      <c r="L686" s="327"/>
      <c r="M686" s="509"/>
      <c r="N686" s="539"/>
      <c r="O686" s="221"/>
      <c r="P686" s="220"/>
      <c r="Q686" s="381"/>
      <c r="R686" s="222">
        <f t="shared" si="20"/>
        <v>0</v>
      </c>
      <c r="S686" s="347"/>
      <c r="T686" s="222"/>
      <c r="U686" s="222"/>
      <c r="V686" s="222"/>
    </row>
    <row r="687" spans="1:30" ht="15.6" outlineLevel="1" x14ac:dyDescent="0.3">
      <c r="A687" s="216"/>
      <c r="B687" s="337"/>
      <c r="C687" s="252"/>
      <c r="D687" s="218"/>
      <c r="E687" s="217" t="s">
        <v>574</v>
      </c>
      <c r="F687" s="217" t="s">
        <v>519</v>
      </c>
      <c r="G687" s="218"/>
      <c r="H687" s="208" t="s">
        <v>520</v>
      </c>
      <c r="I687" s="217"/>
      <c r="J687" s="217"/>
      <c r="K687" s="217"/>
      <c r="L687" s="327"/>
      <c r="M687" s="509"/>
      <c r="N687" s="539"/>
      <c r="O687" s="221"/>
      <c r="P687" s="220"/>
      <c r="Q687" s="381"/>
      <c r="R687" s="222">
        <f t="shared" si="20"/>
        <v>0</v>
      </c>
      <c r="S687" s="347"/>
      <c r="T687" s="222"/>
      <c r="U687" s="222"/>
      <c r="V687" s="222"/>
    </row>
    <row r="688" spans="1:30" ht="15.6" outlineLevel="1" x14ac:dyDescent="0.3">
      <c r="A688" s="216"/>
      <c r="B688" s="611"/>
      <c r="C688" s="252"/>
      <c r="D688" s="218"/>
      <c r="E688" s="217" t="s">
        <v>741</v>
      </c>
      <c r="F688" s="217" t="s">
        <v>519</v>
      </c>
      <c r="G688" s="218"/>
      <c r="H688" s="208" t="s">
        <v>520</v>
      </c>
      <c r="I688" s="217"/>
      <c r="J688" s="238"/>
      <c r="K688" s="217"/>
      <c r="L688" s="217"/>
      <c r="M688" s="494"/>
      <c r="N688" s="535"/>
      <c r="O688" s="221"/>
      <c r="P688" s="220"/>
      <c r="Q688" s="381"/>
      <c r="R688" s="222">
        <f>SUM(S688,T688,U688,V688)</f>
        <v>0</v>
      </c>
      <c r="S688" s="222"/>
      <c r="T688" s="222"/>
      <c r="U688" s="222"/>
      <c r="V688" s="222"/>
    </row>
    <row r="689" spans="1:22" ht="15.6" outlineLevel="1" x14ac:dyDescent="0.3">
      <c r="A689" s="216"/>
      <c r="B689" s="611"/>
      <c r="C689" s="252"/>
      <c r="D689" s="218"/>
      <c r="E689" s="217" t="s">
        <v>741</v>
      </c>
      <c r="F689" s="217" t="s">
        <v>519</v>
      </c>
      <c r="G689" s="218"/>
      <c r="H689" s="208" t="s">
        <v>520</v>
      </c>
      <c r="I689" s="217"/>
      <c r="J689" s="238"/>
      <c r="K689" s="217"/>
      <c r="L689" s="217"/>
      <c r="M689" s="494"/>
      <c r="N689" s="535"/>
      <c r="O689" s="221"/>
      <c r="P689" s="220"/>
      <c r="Q689" s="381"/>
      <c r="R689" s="222">
        <f>SUM(S689,T689,U689,V689)</f>
        <v>0</v>
      </c>
      <c r="S689" s="222"/>
      <c r="T689" s="222"/>
      <c r="U689" s="222"/>
      <c r="V689" s="222"/>
    </row>
    <row r="690" spans="1:22" ht="15.6" outlineLevel="1" x14ac:dyDescent="0.3">
      <c r="A690" s="216"/>
      <c r="B690" s="353"/>
      <c r="C690" s="252"/>
      <c r="D690" s="218"/>
      <c r="E690" s="217" t="s">
        <v>574</v>
      </c>
      <c r="F690" s="217" t="s">
        <v>519</v>
      </c>
      <c r="G690" s="218"/>
      <c r="H690" s="208" t="s">
        <v>520</v>
      </c>
      <c r="I690" s="217"/>
      <c r="J690" s="238"/>
      <c r="K690" s="217"/>
      <c r="L690" s="217"/>
      <c r="M690" s="494"/>
      <c r="N690" s="535"/>
      <c r="O690" s="221"/>
      <c r="P690" s="220"/>
      <c r="Q690" s="381"/>
      <c r="R690" s="222">
        <f>SUM(S690,T690,U690,V690)</f>
        <v>0</v>
      </c>
      <c r="S690" s="222"/>
      <c r="T690" s="222"/>
      <c r="U690" s="222"/>
      <c r="V690" s="222"/>
    </row>
    <row r="691" spans="1:22" ht="15.6" outlineLevel="1" x14ac:dyDescent="0.3">
      <c r="A691" s="216"/>
      <c r="B691" s="353"/>
      <c r="C691" s="252"/>
      <c r="D691" s="218"/>
      <c r="E691" s="217" t="s">
        <v>574</v>
      </c>
      <c r="F691" s="217" t="s">
        <v>519</v>
      </c>
      <c r="G691" s="218"/>
      <c r="H691" s="208" t="s">
        <v>520</v>
      </c>
      <c r="I691" s="217"/>
      <c r="J691" s="238"/>
      <c r="K691" s="217"/>
      <c r="L691" s="217"/>
      <c r="M691" s="494"/>
      <c r="N691" s="535"/>
      <c r="O691" s="221"/>
      <c r="P691" s="220"/>
      <c r="Q691" s="381"/>
      <c r="R691" s="222">
        <f>SUM(S691,T691,U691,V691)</f>
        <v>0</v>
      </c>
      <c r="S691" s="222"/>
      <c r="T691" s="222"/>
      <c r="U691" s="222"/>
      <c r="V691" s="222"/>
    </row>
    <row r="692" spans="1:22" ht="15.6" outlineLevel="1" x14ac:dyDescent="0.3">
      <c r="A692" s="216"/>
      <c r="B692" s="353"/>
      <c r="C692" s="252"/>
      <c r="D692" s="218"/>
      <c r="E692" s="217" t="s">
        <v>574</v>
      </c>
      <c r="F692" s="217" t="s">
        <v>519</v>
      </c>
      <c r="G692" s="218"/>
      <c r="H692" s="208" t="s">
        <v>520</v>
      </c>
      <c r="I692" s="217"/>
      <c r="J692" s="238"/>
      <c r="K692" s="217"/>
      <c r="L692" s="217"/>
      <c r="M692" s="494"/>
      <c r="N692" s="535"/>
      <c r="O692" s="221"/>
      <c r="P692" s="220"/>
      <c r="Q692" s="381"/>
      <c r="R692" s="222">
        <f t="shared" ref="R692:R704" si="21">SUM(S692,T692,U692,V692)</f>
        <v>0</v>
      </c>
      <c r="S692" s="222"/>
      <c r="T692" s="222"/>
      <c r="U692" s="222"/>
      <c r="V692" s="222"/>
    </row>
    <row r="693" spans="1:22" ht="15.6" outlineLevel="1" x14ac:dyDescent="0.3">
      <c r="A693" s="216"/>
      <c r="B693" s="353"/>
      <c r="C693" s="252"/>
      <c r="D693" s="218"/>
      <c r="E693" s="217" t="s">
        <v>574</v>
      </c>
      <c r="F693" s="217" t="s">
        <v>519</v>
      </c>
      <c r="G693" s="218"/>
      <c r="H693" s="208" t="s">
        <v>520</v>
      </c>
      <c r="I693" s="217"/>
      <c r="J693" s="238"/>
      <c r="K693" s="217"/>
      <c r="L693" s="217"/>
      <c r="M693" s="494"/>
      <c r="N693" s="535"/>
      <c r="O693" s="221"/>
      <c r="P693" s="220"/>
      <c r="Q693" s="381"/>
      <c r="R693" s="222">
        <f t="shared" si="21"/>
        <v>0</v>
      </c>
      <c r="S693" s="222"/>
      <c r="T693" s="222"/>
      <c r="U693" s="222"/>
      <c r="V693" s="222"/>
    </row>
    <row r="694" spans="1:22" ht="15.6" outlineLevel="1" x14ac:dyDescent="0.3">
      <c r="A694" s="216"/>
      <c r="B694" s="353"/>
      <c r="C694" s="252"/>
      <c r="D694" s="218"/>
      <c r="E694" s="217" t="s">
        <v>574</v>
      </c>
      <c r="F694" s="217" t="s">
        <v>519</v>
      </c>
      <c r="G694" s="218"/>
      <c r="H694" s="208" t="s">
        <v>520</v>
      </c>
      <c r="I694" s="217"/>
      <c r="J694" s="238"/>
      <c r="K694" s="217"/>
      <c r="L694" s="217"/>
      <c r="M694" s="494"/>
      <c r="N694" s="535"/>
      <c r="O694" s="221"/>
      <c r="P694" s="220"/>
      <c r="Q694" s="381"/>
      <c r="R694" s="222">
        <f t="shared" si="21"/>
        <v>0</v>
      </c>
      <c r="S694" s="222"/>
      <c r="T694" s="222"/>
      <c r="U694" s="222"/>
      <c r="V694" s="222"/>
    </row>
    <row r="695" spans="1:22" ht="15.6" outlineLevel="1" x14ac:dyDescent="0.3">
      <c r="A695" s="216"/>
      <c r="B695" s="353"/>
      <c r="C695" s="252"/>
      <c r="D695" s="218"/>
      <c r="E695" s="217" t="s">
        <v>574</v>
      </c>
      <c r="F695" s="217" t="s">
        <v>519</v>
      </c>
      <c r="G695" s="218"/>
      <c r="H695" s="208" t="s">
        <v>520</v>
      </c>
      <c r="I695" s="217"/>
      <c r="J695" s="238"/>
      <c r="K695" s="217"/>
      <c r="L695" s="217"/>
      <c r="M695" s="494"/>
      <c r="N695" s="535"/>
      <c r="O695" s="221"/>
      <c r="P695" s="220"/>
      <c r="Q695" s="381"/>
      <c r="R695" s="222">
        <f t="shared" si="21"/>
        <v>0</v>
      </c>
      <c r="S695" s="222"/>
      <c r="T695" s="222"/>
      <c r="U695" s="222"/>
      <c r="V695" s="222"/>
    </row>
    <row r="696" spans="1:22" ht="15.6" outlineLevel="1" x14ac:dyDescent="0.3">
      <c r="A696" s="216"/>
      <c r="B696" s="353"/>
      <c r="C696" s="252"/>
      <c r="D696" s="218"/>
      <c r="E696" s="217" t="s">
        <v>574</v>
      </c>
      <c r="F696" s="217" t="s">
        <v>519</v>
      </c>
      <c r="G696" s="218"/>
      <c r="H696" s="208" t="s">
        <v>520</v>
      </c>
      <c r="I696" s="217"/>
      <c r="J696" s="238"/>
      <c r="K696" s="217"/>
      <c r="L696" s="217"/>
      <c r="M696" s="494"/>
      <c r="N696" s="535"/>
      <c r="O696" s="221"/>
      <c r="P696" s="220"/>
      <c r="Q696" s="381"/>
      <c r="R696" s="222">
        <f t="shared" si="21"/>
        <v>0</v>
      </c>
      <c r="S696" s="222"/>
      <c r="T696" s="222"/>
      <c r="U696" s="222"/>
      <c r="V696" s="222"/>
    </row>
    <row r="697" spans="1:22" ht="15.6" outlineLevel="1" x14ac:dyDescent="0.3">
      <c r="A697" s="216"/>
      <c r="B697" s="353"/>
      <c r="C697" s="252"/>
      <c r="D697" s="218"/>
      <c r="E697" s="217" t="s">
        <v>574</v>
      </c>
      <c r="F697" s="217" t="s">
        <v>519</v>
      </c>
      <c r="G697" s="218"/>
      <c r="H697" s="208" t="s">
        <v>520</v>
      </c>
      <c r="I697" s="217"/>
      <c r="J697" s="238"/>
      <c r="K697" s="217"/>
      <c r="L697" s="217"/>
      <c r="M697" s="494"/>
      <c r="N697" s="535"/>
      <c r="O697" s="221"/>
      <c r="P697" s="220"/>
      <c r="Q697" s="381"/>
      <c r="R697" s="222">
        <f t="shared" si="21"/>
        <v>0</v>
      </c>
      <c r="S697" s="222"/>
      <c r="T697" s="222"/>
      <c r="U697" s="222"/>
      <c r="V697" s="222"/>
    </row>
    <row r="698" spans="1:22" ht="15.6" outlineLevel="1" x14ac:dyDescent="0.3">
      <c r="A698" s="216"/>
      <c r="B698" s="353"/>
      <c r="C698" s="252"/>
      <c r="D698" s="218"/>
      <c r="E698" s="217" t="s">
        <v>574</v>
      </c>
      <c r="F698" s="217" t="s">
        <v>519</v>
      </c>
      <c r="G698" s="218"/>
      <c r="H698" s="208" t="s">
        <v>520</v>
      </c>
      <c r="I698" s="217"/>
      <c r="J698" s="238"/>
      <c r="K698" s="217"/>
      <c r="L698" s="217"/>
      <c r="M698" s="494"/>
      <c r="N698" s="535"/>
      <c r="O698" s="221"/>
      <c r="P698" s="220"/>
      <c r="Q698" s="381"/>
      <c r="R698" s="222">
        <f t="shared" si="21"/>
        <v>0</v>
      </c>
      <c r="S698" s="222"/>
      <c r="T698" s="222"/>
      <c r="U698" s="222"/>
      <c r="V698" s="222"/>
    </row>
    <row r="699" spans="1:22" ht="15.6" outlineLevel="1" x14ac:dyDescent="0.3">
      <c r="A699" s="216"/>
      <c r="B699" s="353"/>
      <c r="C699" s="252"/>
      <c r="D699" s="218"/>
      <c r="E699" s="217" t="s">
        <v>574</v>
      </c>
      <c r="F699" s="217" t="s">
        <v>519</v>
      </c>
      <c r="G699" s="218"/>
      <c r="H699" s="208" t="s">
        <v>520</v>
      </c>
      <c r="I699" s="217"/>
      <c r="J699" s="238"/>
      <c r="K699" s="217"/>
      <c r="L699" s="217"/>
      <c r="M699" s="494"/>
      <c r="N699" s="535"/>
      <c r="O699" s="221"/>
      <c r="P699" s="220"/>
      <c r="Q699" s="381"/>
      <c r="R699" s="222">
        <f>SUM(S699,T699,U699,V699)</f>
        <v>0</v>
      </c>
      <c r="S699" s="222"/>
      <c r="T699" s="222"/>
      <c r="U699" s="222"/>
      <c r="V699" s="222"/>
    </row>
    <row r="700" spans="1:22" ht="15.6" outlineLevel="1" x14ac:dyDescent="0.3">
      <c r="A700" s="216"/>
      <c r="B700" s="353"/>
      <c r="C700" s="252"/>
      <c r="D700" s="218"/>
      <c r="E700" s="217" t="s">
        <v>574</v>
      </c>
      <c r="F700" s="217" t="s">
        <v>519</v>
      </c>
      <c r="G700" s="218"/>
      <c r="H700" s="208" t="s">
        <v>520</v>
      </c>
      <c r="I700" s="217"/>
      <c r="J700" s="238"/>
      <c r="K700" s="217"/>
      <c r="L700" s="217"/>
      <c r="M700" s="494"/>
      <c r="N700" s="535"/>
      <c r="O700" s="221"/>
      <c r="P700" s="220"/>
      <c r="Q700" s="381"/>
      <c r="R700" s="222">
        <f>SUM(S700,T700,U700,V700)</f>
        <v>0</v>
      </c>
      <c r="S700" s="222"/>
      <c r="T700" s="222"/>
      <c r="U700" s="222"/>
      <c r="V700" s="222"/>
    </row>
    <row r="701" spans="1:22" ht="15.6" outlineLevel="1" x14ac:dyDescent="0.3">
      <c r="A701" s="216"/>
      <c r="B701" s="353"/>
      <c r="C701" s="252"/>
      <c r="D701" s="218"/>
      <c r="E701" s="217" t="s">
        <v>574</v>
      </c>
      <c r="F701" s="217" t="s">
        <v>519</v>
      </c>
      <c r="G701" s="218"/>
      <c r="H701" s="208" t="s">
        <v>520</v>
      </c>
      <c r="I701" s="217"/>
      <c r="J701" s="238"/>
      <c r="K701" s="217"/>
      <c r="L701" s="217"/>
      <c r="M701" s="494"/>
      <c r="N701" s="535"/>
      <c r="O701" s="221"/>
      <c r="P701" s="220"/>
      <c r="Q701" s="381"/>
      <c r="R701" s="222">
        <f>SUM(S701,T701,U701,V701)</f>
        <v>0</v>
      </c>
      <c r="S701" s="222"/>
      <c r="T701" s="222"/>
      <c r="U701" s="222"/>
      <c r="V701" s="222"/>
    </row>
    <row r="702" spans="1:22" ht="15.6" outlineLevel="1" x14ac:dyDescent="0.3">
      <c r="A702" s="216"/>
      <c r="B702" s="353"/>
      <c r="C702" s="252"/>
      <c r="D702" s="218"/>
      <c r="E702" s="217" t="s">
        <v>574</v>
      </c>
      <c r="F702" s="217" t="s">
        <v>519</v>
      </c>
      <c r="G702" s="218"/>
      <c r="H702" s="208" t="s">
        <v>520</v>
      </c>
      <c r="I702" s="217"/>
      <c r="J702" s="238"/>
      <c r="K702" s="217"/>
      <c r="L702" s="217"/>
      <c r="M702" s="494"/>
      <c r="N702" s="535"/>
      <c r="O702" s="221"/>
      <c r="P702" s="220"/>
      <c r="Q702" s="381"/>
      <c r="R702" s="222">
        <f>SUM(S702,T702,U702,V702)</f>
        <v>0</v>
      </c>
      <c r="S702" s="222"/>
      <c r="T702" s="222"/>
      <c r="U702" s="222"/>
      <c r="V702" s="222"/>
    </row>
    <row r="703" spans="1:22" ht="15.6" outlineLevel="1" x14ac:dyDescent="0.3">
      <c r="A703" s="216"/>
      <c r="B703" s="353"/>
      <c r="C703" s="252"/>
      <c r="D703" s="218"/>
      <c r="E703" s="217" t="s">
        <v>574</v>
      </c>
      <c r="F703" s="217" t="s">
        <v>519</v>
      </c>
      <c r="G703" s="218"/>
      <c r="H703" s="208" t="s">
        <v>520</v>
      </c>
      <c r="I703" s="217"/>
      <c r="J703" s="238"/>
      <c r="K703" s="217"/>
      <c r="L703" s="217"/>
      <c r="M703" s="494"/>
      <c r="N703" s="535"/>
      <c r="O703" s="221"/>
      <c r="P703" s="220"/>
      <c r="Q703" s="381"/>
      <c r="R703" s="222">
        <f t="shared" si="21"/>
        <v>0</v>
      </c>
      <c r="S703" s="222"/>
      <c r="T703" s="222"/>
      <c r="U703" s="222"/>
      <c r="V703" s="222"/>
    </row>
    <row r="704" spans="1:22" ht="15.6" outlineLevel="1" x14ac:dyDescent="0.3">
      <c r="A704" s="216"/>
      <c r="B704" s="353"/>
      <c r="C704" s="252"/>
      <c r="D704" s="218"/>
      <c r="E704" s="217" t="s">
        <v>574</v>
      </c>
      <c r="F704" s="217" t="s">
        <v>519</v>
      </c>
      <c r="G704" s="218"/>
      <c r="H704" s="208" t="s">
        <v>520</v>
      </c>
      <c r="I704" s="217"/>
      <c r="J704" s="238"/>
      <c r="K704" s="217"/>
      <c r="L704" s="217"/>
      <c r="M704" s="494"/>
      <c r="N704" s="535"/>
      <c r="O704" s="221"/>
      <c r="P704" s="220"/>
      <c r="Q704" s="381"/>
      <c r="R704" s="222">
        <f t="shared" si="21"/>
        <v>0</v>
      </c>
      <c r="S704" s="222"/>
      <c r="T704" s="222"/>
      <c r="U704" s="222"/>
      <c r="V704" s="222"/>
    </row>
    <row r="705" spans="1:30" s="279" customFormat="1" ht="16.2" x14ac:dyDescent="0.35">
      <c r="A705" s="240" t="s">
        <v>670</v>
      </c>
      <c r="B705" s="241"/>
      <c r="C705" s="241"/>
      <c r="D705" s="241"/>
      <c r="E705" s="241"/>
      <c r="F705" s="241"/>
      <c r="G705" s="241"/>
      <c r="H705" s="286"/>
      <c r="I705" s="286"/>
      <c r="J705" s="286"/>
      <c r="K705" s="286"/>
      <c r="L705" s="468"/>
      <c r="M705" s="513"/>
      <c r="N705" s="518"/>
      <c r="O705" s="348">
        <v>244</v>
      </c>
      <c r="P705" s="349"/>
      <c r="Q705" s="393"/>
      <c r="R705" s="229">
        <f>SUM(R706,R853,R858,R914,R950,R1038)</f>
        <v>0</v>
      </c>
      <c r="S705" s="229">
        <f>SUM(S706,S853,S858,S914,S950,S1038)</f>
        <v>0</v>
      </c>
      <c r="T705" s="229">
        <f>SUM(T706,T853,T858,T914,T950,T1038)</f>
        <v>0</v>
      </c>
      <c r="U705" s="229">
        <f>SUM(U706,U853,U858,U914,U950,U1038)</f>
        <v>0</v>
      </c>
      <c r="V705" s="229">
        <f>SUM(V706,V853,V858,V914,V950,V1038)</f>
        <v>0</v>
      </c>
      <c r="AC705" s="414"/>
      <c r="AD705" s="471"/>
    </row>
    <row r="706" spans="1:30" s="45" customFormat="1" ht="16.2" x14ac:dyDescent="0.35">
      <c r="A706" s="231" t="s">
        <v>671</v>
      </c>
      <c r="B706" s="232"/>
      <c r="C706" s="232"/>
      <c r="D706" s="352"/>
      <c r="E706" s="232"/>
      <c r="F706" s="258"/>
      <c r="G706" s="259"/>
      <c r="H706" s="232"/>
      <c r="I706" s="260"/>
      <c r="J706" s="258"/>
      <c r="K706" s="232"/>
      <c r="L706" s="232"/>
      <c r="M706" s="495"/>
      <c r="N706" s="536" t="s">
        <v>249</v>
      </c>
      <c r="O706" s="350">
        <v>244</v>
      </c>
      <c r="P706" s="351">
        <v>346</v>
      </c>
      <c r="Q706" s="386"/>
      <c r="R706" s="229">
        <f>SUM(R707:R852)</f>
        <v>0</v>
      </c>
      <c r="S706" s="229">
        <f>SUM(S707:S852)</f>
        <v>0</v>
      </c>
      <c r="T706" s="229">
        <f>SUM(T707:T852)</f>
        <v>0</v>
      </c>
      <c r="U706" s="229">
        <f>SUM(U707:U852)</f>
        <v>0</v>
      </c>
      <c r="V706" s="229">
        <f>SUM(V707:V852)</f>
        <v>0</v>
      </c>
      <c r="AC706" s="414"/>
      <c r="AD706" s="471"/>
    </row>
    <row r="707" spans="1:30" s="283" customFormat="1" ht="15.6" outlineLevel="1" x14ac:dyDescent="0.3">
      <c r="A707" s="330"/>
      <c r="B707" s="236"/>
      <c r="C707" s="249"/>
      <c r="D707" s="218"/>
      <c r="E707" s="217" t="s">
        <v>574</v>
      </c>
      <c r="F707" s="217" t="s">
        <v>519</v>
      </c>
      <c r="G707" s="218"/>
      <c r="H707" s="208" t="s">
        <v>520</v>
      </c>
      <c r="I707" s="218"/>
      <c r="J707" s="208" t="s">
        <v>520</v>
      </c>
      <c r="K707" s="218"/>
      <c r="L707" s="208" t="s">
        <v>520</v>
      </c>
      <c r="M707" s="500"/>
      <c r="N707" s="528"/>
      <c r="O707" s="299"/>
      <c r="P707" s="300"/>
      <c r="Q707" s="384"/>
      <c r="R707" s="222">
        <f t="shared" ref="R707:R712" si="22">SUM(S707,T707,U707,V707)</f>
        <v>0</v>
      </c>
      <c r="S707" s="347"/>
      <c r="T707" s="347"/>
      <c r="U707" s="347"/>
      <c r="V707" s="347"/>
      <c r="AC707" s="414"/>
      <c r="AD707" s="471"/>
    </row>
    <row r="708" spans="1:30" ht="15.6" outlineLevel="1" x14ac:dyDescent="0.3">
      <c r="A708" s="330"/>
      <c r="B708" s="236"/>
      <c r="C708" s="249"/>
      <c r="D708" s="218"/>
      <c r="E708" s="217" t="s">
        <v>574</v>
      </c>
      <c r="F708" s="217" t="s">
        <v>519</v>
      </c>
      <c r="G708" s="218"/>
      <c r="H708" s="208" t="s">
        <v>520</v>
      </c>
      <c r="I708" s="238"/>
      <c r="J708" s="238"/>
      <c r="K708" s="238"/>
      <c r="L708" s="238"/>
      <c r="M708" s="500"/>
      <c r="N708" s="528"/>
      <c r="O708" s="299"/>
      <c r="P708" s="300"/>
      <c r="Q708" s="384"/>
      <c r="R708" s="222">
        <f t="shared" si="22"/>
        <v>0</v>
      </c>
      <c r="S708" s="347"/>
      <c r="T708" s="347"/>
      <c r="U708" s="347"/>
      <c r="V708" s="347"/>
    </row>
    <row r="709" spans="1:30" ht="15.6" outlineLevel="1" x14ac:dyDescent="0.3">
      <c r="A709" s="330"/>
      <c r="B709" s="236"/>
      <c r="C709" s="249"/>
      <c r="D709" s="218"/>
      <c r="E709" s="217" t="s">
        <v>574</v>
      </c>
      <c r="F709" s="217" t="s">
        <v>519</v>
      </c>
      <c r="G709" s="218"/>
      <c r="H709" s="208" t="s">
        <v>520</v>
      </c>
      <c r="I709" s="238"/>
      <c r="J709" s="238"/>
      <c r="K709" s="238"/>
      <c r="L709" s="238"/>
      <c r="M709" s="500"/>
      <c r="N709" s="528"/>
      <c r="O709" s="299"/>
      <c r="P709" s="300"/>
      <c r="Q709" s="384"/>
      <c r="R709" s="222">
        <f t="shared" si="22"/>
        <v>0</v>
      </c>
      <c r="S709" s="347"/>
      <c r="T709" s="347"/>
      <c r="U709" s="347"/>
      <c r="V709" s="347"/>
    </row>
    <row r="710" spans="1:30" ht="15.6" outlineLevel="1" x14ac:dyDescent="0.3">
      <c r="A710" s="330"/>
      <c r="B710" s="236"/>
      <c r="C710" s="249"/>
      <c r="D710" s="218"/>
      <c r="E710" s="217" t="s">
        <v>574</v>
      </c>
      <c r="F710" s="217" t="s">
        <v>519</v>
      </c>
      <c r="G710" s="218"/>
      <c r="H710" s="208" t="s">
        <v>520</v>
      </c>
      <c r="I710" s="238"/>
      <c r="J710" s="238"/>
      <c r="K710" s="238"/>
      <c r="L710" s="238"/>
      <c r="M710" s="500"/>
      <c r="N710" s="528"/>
      <c r="O710" s="299"/>
      <c r="P710" s="300"/>
      <c r="Q710" s="384"/>
      <c r="R710" s="222">
        <f t="shared" si="22"/>
        <v>0</v>
      </c>
      <c r="S710" s="347"/>
      <c r="T710" s="347"/>
      <c r="U710" s="347"/>
      <c r="V710" s="347"/>
    </row>
    <row r="711" spans="1:30" ht="15.6" outlineLevel="1" x14ac:dyDescent="0.3">
      <c r="A711" s="330"/>
      <c r="B711" s="236"/>
      <c r="C711" s="249"/>
      <c r="D711" s="218"/>
      <c r="E711" s="217" t="s">
        <v>574</v>
      </c>
      <c r="F711" s="217" t="s">
        <v>519</v>
      </c>
      <c r="G711" s="218"/>
      <c r="H711" s="208" t="s">
        <v>520</v>
      </c>
      <c r="I711" s="238"/>
      <c r="J711" s="238"/>
      <c r="K711" s="238"/>
      <c r="L711" s="238"/>
      <c r="M711" s="500"/>
      <c r="N711" s="528"/>
      <c r="O711" s="299"/>
      <c r="P711" s="300"/>
      <c r="Q711" s="384"/>
      <c r="R711" s="222">
        <f t="shared" si="22"/>
        <v>0</v>
      </c>
      <c r="S711" s="347"/>
      <c r="T711" s="347"/>
      <c r="U711" s="347"/>
      <c r="V711" s="347"/>
    </row>
    <row r="712" spans="1:30" ht="15.6" outlineLevel="1" x14ac:dyDescent="0.3">
      <c r="A712" s="330"/>
      <c r="B712" s="236"/>
      <c r="C712" s="249"/>
      <c r="D712" s="218"/>
      <c r="E712" s="217" t="s">
        <v>574</v>
      </c>
      <c r="F712" s="217" t="s">
        <v>519</v>
      </c>
      <c r="G712" s="218"/>
      <c r="H712" s="208" t="s">
        <v>520</v>
      </c>
      <c r="I712" s="238"/>
      <c r="J712" s="238"/>
      <c r="K712" s="238"/>
      <c r="L712" s="238"/>
      <c r="M712" s="500"/>
      <c r="N712" s="528"/>
      <c r="O712" s="299"/>
      <c r="P712" s="300"/>
      <c r="Q712" s="384"/>
      <c r="R712" s="222">
        <f t="shared" si="22"/>
        <v>0</v>
      </c>
      <c r="S712" s="347"/>
      <c r="T712" s="347"/>
      <c r="U712" s="347"/>
      <c r="V712" s="347"/>
    </row>
    <row r="713" spans="1:30" ht="15.6" outlineLevel="1" x14ac:dyDescent="0.3">
      <c r="A713" s="330"/>
      <c r="B713" s="236"/>
      <c r="C713" s="249"/>
      <c r="D713" s="218"/>
      <c r="E713" s="217" t="s">
        <v>574</v>
      </c>
      <c r="F713" s="217" t="s">
        <v>519</v>
      </c>
      <c r="G713" s="218"/>
      <c r="H713" s="208" t="s">
        <v>520</v>
      </c>
      <c r="I713" s="238"/>
      <c r="J713" s="238"/>
      <c r="K713" s="238"/>
      <c r="L713" s="238"/>
      <c r="M713" s="500"/>
      <c r="N713" s="528"/>
      <c r="O713" s="299"/>
      <c r="P713" s="300"/>
      <c r="Q713" s="384"/>
      <c r="R713" s="222">
        <f t="shared" ref="R713:R755" si="23">SUM(S713,T713,U713,V713)</f>
        <v>0</v>
      </c>
      <c r="S713" s="347"/>
      <c r="T713" s="347"/>
      <c r="U713" s="347"/>
      <c r="V713" s="347"/>
    </row>
    <row r="714" spans="1:30" ht="15.6" outlineLevel="1" x14ac:dyDescent="0.3">
      <c r="A714" s="330"/>
      <c r="B714" s="236"/>
      <c r="C714" s="249"/>
      <c r="D714" s="218"/>
      <c r="E714" s="217" t="s">
        <v>574</v>
      </c>
      <c r="F714" s="217" t="s">
        <v>519</v>
      </c>
      <c r="G714" s="218"/>
      <c r="H714" s="208" t="s">
        <v>520</v>
      </c>
      <c r="I714" s="238"/>
      <c r="J714" s="238"/>
      <c r="K714" s="238"/>
      <c r="L714" s="238"/>
      <c r="M714" s="500"/>
      <c r="N714" s="528"/>
      <c r="O714" s="299"/>
      <c r="P714" s="300"/>
      <c r="Q714" s="384"/>
      <c r="R714" s="222">
        <f t="shared" si="23"/>
        <v>0</v>
      </c>
      <c r="S714" s="347"/>
      <c r="T714" s="347"/>
      <c r="U714" s="347"/>
      <c r="V714" s="347"/>
    </row>
    <row r="715" spans="1:30" ht="15.6" outlineLevel="1" x14ac:dyDescent="0.3">
      <c r="A715" s="330"/>
      <c r="B715" s="236"/>
      <c r="C715" s="249"/>
      <c r="D715" s="218"/>
      <c r="E715" s="217" t="s">
        <v>574</v>
      </c>
      <c r="F715" s="217" t="s">
        <v>519</v>
      </c>
      <c r="G715" s="218"/>
      <c r="H715" s="208" t="s">
        <v>520</v>
      </c>
      <c r="I715" s="238"/>
      <c r="J715" s="238"/>
      <c r="K715" s="238"/>
      <c r="L715" s="238"/>
      <c r="M715" s="500"/>
      <c r="N715" s="528"/>
      <c r="O715" s="299"/>
      <c r="P715" s="300"/>
      <c r="Q715" s="384"/>
      <c r="R715" s="222">
        <f t="shared" si="23"/>
        <v>0</v>
      </c>
      <c r="S715" s="347"/>
      <c r="T715" s="347"/>
      <c r="U715" s="347"/>
      <c r="V715" s="347"/>
    </row>
    <row r="716" spans="1:30" ht="15.6" outlineLevel="1" x14ac:dyDescent="0.3">
      <c r="A716" s="330"/>
      <c r="B716" s="236"/>
      <c r="C716" s="249"/>
      <c r="D716" s="218"/>
      <c r="E716" s="217" t="s">
        <v>574</v>
      </c>
      <c r="F716" s="217" t="s">
        <v>519</v>
      </c>
      <c r="G716" s="218"/>
      <c r="H716" s="208" t="s">
        <v>520</v>
      </c>
      <c r="I716" s="238"/>
      <c r="J716" s="238"/>
      <c r="K716" s="238"/>
      <c r="L716" s="238"/>
      <c r="M716" s="500"/>
      <c r="N716" s="528"/>
      <c r="O716" s="299"/>
      <c r="P716" s="300"/>
      <c r="Q716" s="384"/>
      <c r="R716" s="222">
        <f t="shared" si="23"/>
        <v>0</v>
      </c>
      <c r="S716" s="347"/>
      <c r="T716" s="347"/>
      <c r="U716" s="347"/>
      <c r="V716" s="347"/>
    </row>
    <row r="717" spans="1:30" ht="15.6" outlineLevel="1" x14ac:dyDescent="0.3">
      <c r="A717" s="330"/>
      <c r="B717" s="236"/>
      <c r="C717" s="249"/>
      <c r="D717" s="218"/>
      <c r="E717" s="217" t="s">
        <v>574</v>
      </c>
      <c r="F717" s="217" t="s">
        <v>519</v>
      </c>
      <c r="G717" s="218"/>
      <c r="H717" s="208" t="s">
        <v>520</v>
      </c>
      <c r="I717" s="238"/>
      <c r="J717" s="238"/>
      <c r="K717" s="238"/>
      <c r="L717" s="238"/>
      <c r="M717" s="500"/>
      <c r="N717" s="528"/>
      <c r="O717" s="299"/>
      <c r="P717" s="300"/>
      <c r="Q717" s="384"/>
      <c r="R717" s="222">
        <f t="shared" si="23"/>
        <v>0</v>
      </c>
      <c r="S717" s="347"/>
      <c r="T717" s="347"/>
      <c r="U717" s="347"/>
      <c r="V717" s="347"/>
    </row>
    <row r="718" spans="1:30" ht="15.6" outlineLevel="1" x14ac:dyDescent="0.3">
      <c r="A718" s="330"/>
      <c r="B718" s="236"/>
      <c r="C718" s="249"/>
      <c r="D718" s="218"/>
      <c r="E718" s="217" t="s">
        <v>574</v>
      </c>
      <c r="F718" s="217" t="s">
        <v>519</v>
      </c>
      <c r="G718" s="218"/>
      <c r="H718" s="208" t="s">
        <v>520</v>
      </c>
      <c r="I718" s="238"/>
      <c r="J718" s="238"/>
      <c r="K718" s="238"/>
      <c r="L718" s="238"/>
      <c r="M718" s="500"/>
      <c r="N718" s="528"/>
      <c r="O718" s="299"/>
      <c r="P718" s="300"/>
      <c r="Q718" s="384"/>
      <c r="R718" s="222">
        <f t="shared" si="23"/>
        <v>0</v>
      </c>
      <c r="S718" s="347"/>
      <c r="T718" s="347"/>
      <c r="U718" s="347"/>
      <c r="V718" s="347"/>
    </row>
    <row r="719" spans="1:30" ht="15.6" outlineLevel="1" x14ac:dyDescent="0.3">
      <c r="A719" s="330"/>
      <c r="B719" s="236"/>
      <c r="C719" s="249"/>
      <c r="D719" s="218"/>
      <c r="E719" s="217" t="s">
        <v>574</v>
      </c>
      <c r="F719" s="217" t="s">
        <v>519</v>
      </c>
      <c r="G719" s="218"/>
      <c r="H719" s="208" t="s">
        <v>520</v>
      </c>
      <c r="I719" s="238"/>
      <c r="J719" s="238"/>
      <c r="K719" s="238"/>
      <c r="L719" s="238"/>
      <c r="M719" s="500"/>
      <c r="N719" s="528"/>
      <c r="O719" s="299"/>
      <c r="P719" s="300"/>
      <c r="Q719" s="384"/>
      <c r="R719" s="222">
        <f t="shared" si="23"/>
        <v>0</v>
      </c>
      <c r="S719" s="347"/>
      <c r="T719" s="347"/>
      <c r="U719" s="347"/>
      <c r="V719" s="347"/>
    </row>
    <row r="720" spans="1:30" ht="15.6" outlineLevel="1" x14ac:dyDescent="0.3">
      <c r="A720" s="330"/>
      <c r="B720" s="236"/>
      <c r="C720" s="249"/>
      <c r="D720" s="218"/>
      <c r="E720" s="217" t="s">
        <v>574</v>
      </c>
      <c r="F720" s="217" t="s">
        <v>519</v>
      </c>
      <c r="G720" s="218"/>
      <c r="H720" s="208" t="s">
        <v>520</v>
      </c>
      <c r="I720" s="238"/>
      <c r="J720" s="238"/>
      <c r="K720" s="238"/>
      <c r="L720" s="238"/>
      <c r="M720" s="500"/>
      <c r="N720" s="528"/>
      <c r="O720" s="299"/>
      <c r="P720" s="300"/>
      <c r="Q720" s="384"/>
      <c r="R720" s="222">
        <f t="shared" si="23"/>
        <v>0</v>
      </c>
      <c r="S720" s="347"/>
      <c r="T720" s="347"/>
      <c r="U720" s="347"/>
      <c r="V720" s="347"/>
    </row>
    <row r="721" spans="1:22" ht="15.6" outlineLevel="1" x14ac:dyDescent="0.3">
      <c r="A721" s="330"/>
      <c r="B721" s="236"/>
      <c r="C721" s="249"/>
      <c r="D721" s="218"/>
      <c r="E721" s="217" t="s">
        <v>574</v>
      </c>
      <c r="F721" s="217" t="s">
        <v>519</v>
      </c>
      <c r="G721" s="218"/>
      <c r="H721" s="208" t="s">
        <v>520</v>
      </c>
      <c r="I721" s="238"/>
      <c r="J721" s="238"/>
      <c r="K721" s="238"/>
      <c r="L721" s="238"/>
      <c r="M721" s="500"/>
      <c r="N721" s="528"/>
      <c r="O721" s="299"/>
      <c r="P721" s="300"/>
      <c r="Q721" s="384"/>
      <c r="R721" s="222">
        <f t="shared" si="23"/>
        <v>0</v>
      </c>
      <c r="S721" s="347"/>
      <c r="T721" s="347"/>
      <c r="U721" s="347"/>
      <c r="V721" s="347"/>
    </row>
    <row r="722" spans="1:22" ht="15.6" outlineLevel="1" x14ac:dyDescent="0.3">
      <c r="A722" s="330"/>
      <c r="B722" s="236"/>
      <c r="C722" s="249"/>
      <c r="D722" s="218"/>
      <c r="E722" s="217" t="s">
        <v>574</v>
      </c>
      <c r="F722" s="217" t="s">
        <v>519</v>
      </c>
      <c r="G722" s="218"/>
      <c r="H722" s="208" t="s">
        <v>520</v>
      </c>
      <c r="I722" s="238"/>
      <c r="J722" s="238"/>
      <c r="K722" s="238"/>
      <c r="L722" s="238"/>
      <c r="M722" s="500"/>
      <c r="N722" s="528"/>
      <c r="O722" s="299"/>
      <c r="P722" s="300"/>
      <c r="Q722" s="384"/>
      <c r="R722" s="222">
        <f t="shared" si="23"/>
        <v>0</v>
      </c>
      <c r="S722" s="347"/>
      <c r="T722" s="347"/>
      <c r="U722" s="347"/>
      <c r="V722" s="347"/>
    </row>
    <row r="723" spans="1:22" ht="15.6" outlineLevel="1" x14ac:dyDescent="0.3">
      <c r="A723" s="330"/>
      <c r="B723" s="236"/>
      <c r="C723" s="249"/>
      <c r="D723" s="218"/>
      <c r="E723" s="217" t="s">
        <v>574</v>
      </c>
      <c r="F723" s="217" t="s">
        <v>519</v>
      </c>
      <c r="G723" s="218"/>
      <c r="H723" s="208" t="s">
        <v>520</v>
      </c>
      <c r="I723" s="238"/>
      <c r="J723" s="238"/>
      <c r="K723" s="238"/>
      <c r="L723" s="238"/>
      <c r="M723" s="500"/>
      <c r="N723" s="528"/>
      <c r="O723" s="299"/>
      <c r="P723" s="300"/>
      <c r="Q723" s="384"/>
      <c r="R723" s="222">
        <f t="shared" si="23"/>
        <v>0</v>
      </c>
      <c r="S723" s="347"/>
      <c r="T723" s="347"/>
      <c r="U723" s="347"/>
      <c r="V723" s="347"/>
    </row>
    <row r="724" spans="1:22" ht="15.6" outlineLevel="1" x14ac:dyDescent="0.3">
      <c r="A724" s="330"/>
      <c r="B724" s="236"/>
      <c r="C724" s="249"/>
      <c r="D724" s="218"/>
      <c r="E724" s="217" t="s">
        <v>574</v>
      </c>
      <c r="F724" s="217" t="s">
        <v>519</v>
      </c>
      <c r="G724" s="218"/>
      <c r="H724" s="208" t="s">
        <v>520</v>
      </c>
      <c r="I724" s="238"/>
      <c r="J724" s="238"/>
      <c r="K724" s="238"/>
      <c r="L724" s="238"/>
      <c r="M724" s="500"/>
      <c r="N724" s="528"/>
      <c r="O724" s="299"/>
      <c r="P724" s="300"/>
      <c r="Q724" s="384"/>
      <c r="R724" s="222">
        <f t="shared" si="23"/>
        <v>0</v>
      </c>
      <c r="S724" s="347"/>
      <c r="T724" s="347"/>
      <c r="U724" s="347"/>
      <c r="V724" s="347"/>
    </row>
    <row r="725" spans="1:22" ht="15.6" outlineLevel="1" x14ac:dyDescent="0.3">
      <c r="A725" s="330"/>
      <c r="B725" s="236"/>
      <c r="C725" s="249"/>
      <c r="D725" s="218"/>
      <c r="E725" s="217" t="s">
        <v>574</v>
      </c>
      <c r="F725" s="217" t="s">
        <v>519</v>
      </c>
      <c r="G725" s="218"/>
      <c r="H725" s="208" t="s">
        <v>520</v>
      </c>
      <c r="I725" s="238"/>
      <c r="J725" s="238"/>
      <c r="K725" s="238"/>
      <c r="L725" s="238"/>
      <c r="M725" s="500"/>
      <c r="N725" s="528"/>
      <c r="O725" s="299"/>
      <c r="P725" s="300"/>
      <c r="Q725" s="384"/>
      <c r="R725" s="222">
        <f t="shared" si="23"/>
        <v>0</v>
      </c>
      <c r="S725" s="347"/>
      <c r="T725" s="347"/>
      <c r="U725" s="347"/>
      <c r="V725" s="347"/>
    </row>
    <row r="726" spans="1:22" ht="15.6" outlineLevel="1" x14ac:dyDescent="0.3">
      <c r="A726" s="330"/>
      <c r="B726" s="236"/>
      <c r="C726" s="249"/>
      <c r="D726" s="218"/>
      <c r="E726" s="217" t="s">
        <v>574</v>
      </c>
      <c r="F726" s="217" t="s">
        <v>519</v>
      </c>
      <c r="G726" s="218"/>
      <c r="H726" s="208" t="s">
        <v>520</v>
      </c>
      <c r="I726" s="238"/>
      <c r="J726" s="238"/>
      <c r="K726" s="238"/>
      <c r="L726" s="238"/>
      <c r="M726" s="500"/>
      <c r="N726" s="528"/>
      <c r="O726" s="299"/>
      <c r="P726" s="300"/>
      <c r="Q726" s="384"/>
      <c r="R726" s="222">
        <f t="shared" si="23"/>
        <v>0</v>
      </c>
      <c r="S726" s="347"/>
      <c r="T726" s="347"/>
      <c r="U726" s="347"/>
      <c r="V726" s="347"/>
    </row>
    <row r="727" spans="1:22" ht="15.6" outlineLevel="1" x14ac:dyDescent="0.3">
      <c r="A727" s="330"/>
      <c r="B727" s="236"/>
      <c r="C727" s="249"/>
      <c r="D727" s="218"/>
      <c r="E727" s="217" t="s">
        <v>574</v>
      </c>
      <c r="F727" s="217" t="s">
        <v>519</v>
      </c>
      <c r="G727" s="218"/>
      <c r="H727" s="208" t="s">
        <v>520</v>
      </c>
      <c r="I727" s="238"/>
      <c r="J727" s="238"/>
      <c r="K727" s="238"/>
      <c r="L727" s="238"/>
      <c r="M727" s="500"/>
      <c r="N727" s="528"/>
      <c r="O727" s="299"/>
      <c r="P727" s="300"/>
      <c r="Q727" s="384"/>
      <c r="R727" s="222">
        <f t="shared" si="23"/>
        <v>0</v>
      </c>
      <c r="S727" s="347"/>
      <c r="T727" s="347"/>
      <c r="U727" s="347"/>
      <c r="V727" s="347"/>
    </row>
    <row r="728" spans="1:22" ht="15.6" outlineLevel="1" x14ac:dyDescent="0.3">
      <c r="A728" s="330"/>
      <c r="B728" s="236"/>
      <c r="C728" s="249"/>
      <c r="D728" s="218"/>
      <c r="E728" s="217" t="s">
        <v>574</v>
      </c>
      <c r="F728" s="217" t="s">
        <v>519</v>
      </c>
      <c r="G728" s="218"/>
      <c r="H728" s="208" t="s">
        <v>520</v>
      </c>
      <c r="I728" s="238"/>
      <c r="J728" s="238"/>
      <c r="K728" s="238"/>
      <c r="L728" s="238"/>
      <c r="M728" s="500"/>
      <c r="N728" s="528"/>
      <c r="O728" s="299"/>
      <c r="P728" s="300"/>
      <c r="Q728" s="384"/>
      <c r="R728" s="222">
        <f t="shared" si="23"/>
        <v>0</v>
      </c>
      <c r="S728" s="347"/>
      <c r="T728" s="347"/>
      <c r="U728" s="347"/>
      <c r="V728" s="347"/>
    </row>
    <row r="729" spans="1:22" ht="15.6" outlineLevel="1" x14ac:dyDescent="0.3">
      <c r="A729" s="330"/>
      <c r="B729" s="236"/>
      <c r="C729" s="249"/>
      <c r="D729" s="218"/>
      <c r="E729" s="217" t="s">
        <v>574</v>
      </c>
      <c r="F729" s="217" t="s">
        <v>519</v>
      </c>
      <c r="G729" s="218"/>
      <c r="H729" s="208" t="s">
        <v>520</v>
      </c>
      <c r="I729" s="238"/>
      <c r="J729" s="238"/>
      <c r="K729" s="238"/>
      <c r="L729" s="238"/>
      <c r="M729" s="500"/>
      <c r="N729" s="528"/>
      <c r="O729" s="299"/>
      <c r="P729" s="300"/>
      <c r="Q729" s="384"/>
      <c r="R729" s="222">
        <f t="shared" si="23"/>
        <v>0</v>
      </c>
      <c r="S729" s="347"/>
      <c r="T729" s="347"/>
      <c r="U729" s="347"/>
      <c r="V729" s="347"/>
    </row>
    <row r="730" spans="1:22" ht="15.6" outlineLevel="1" x14ac:dyDescent="0.3">
      <c r="A730" s="330"/>
      <c r="B730" s="236"/>
      <c r="C730" s="249"/>
      <c r="D730" s="218"/>
      <c r="E730" s="217" t="s">
        <v>574</v>
      </c>
      <c r="F730" s="217" t="s">
        <v>519</v>
      </c>
      <c r="G730" s="218"/>
      <c r="H730" s="208" t="s">
        <v>520</v>
      </c>
      <c r="I730" s="238"/>
      <c r="J730" s="238"/>
      <c r="K730" s="238"/>
      <c r="L730" s="238"/>
      <c r="M730" s="500"/>
      <c r="N730" s="528"/>
      <c r="O730" s="299"/>
      <c r="P730" s="300"/>
      <c r="Q730" s="384"/>
      <c r="R730" s="222">
        <f t="shared" si="23"/>
        <v>0</v>
      </c>
      <c r="S730" s="347"/>
      <c r="T730" s="347"/>
      <c r="U730" s="347"/>
      <c r="V730" s="347"/>
    </row>
    <row r="731" spans="1:22" ht="15.6" outlineLevel="1" x14ac:dyDescent="0.3">
      <c r="A731" s="330"/>
      <c r="B731" s="236"/>
      <c r="C731" s="249"/>
      <c r="D731" s="218"/>
      <c r="E731" s="217" t="s">
        <v>736</v>
      </c>
      <c r="F731" s="217" t="s">
        <v>519</v>
      </c>
      <c r="G731" s="218"/>
      <c r="H731" s="208" t="s">
        <v>520</v>
      </c>
      <c r="I731" s="238"/>
      <c r="J731" s="238"/>
      <c r="K731" s="238"/>
      <c r="L731" s="238"/>
      <c r="M731" s="500"/>
      <c r="N731" s="528"/>
      <c r="O731" s="299"/>
      <c r="P731" s="300"/>
      <c r="Q731" s="384"/>
      <c r="R731" s="222">
        <f t="shared" si="23"/>
        <v>0</v>
      </c>
      <c r="S731" s="347"/>
      <c r="T731" s="347"/>
      <c r="U731" s="347"/>
      <c r="V731" s="347"/>
    </row>
    <row r="732" spans="1:22" ht="15.6" outlineLevel="1" x14ac:dyDescent="0.3">
      <c r="A732" s="330"/>
      <c r="B732" s="236"/>
      <c r="C732" s="249"/>
      <c r="D732" s="218"/>
      <c r="E732" s="217" t="s">
        <v>574</v>
      </c>
      <c r="F732" s="217" t="s">
        <v>519</v>
      </c>
      <c r="G732" s="218"/>
      <c r="H732" s="208" t="s">
        <v>520</v>
      </c>
      <c r="I732" s="238"/>
      <c r="J732" s="238"/>
      <c r="K732" s="238"/>
      <c r="L732" s="238"/>
      <c r="M732" s="500"/>
      <c r="N732" s="528"/>
      <c r="O732" s="299"/>
      <c r="P732" s="300"/>
      <c r="Q732" s="384"/>
      <c r="R732" s="222">
        <f t="shared" si="23"/>
        <v>0</v>
      </c>
      <c r="S732" s="347"/>
      <c r="T732" s="347"/>
      <c r="U732" s="347"/>
      <c r="V732" s="347"/>
    </row>
    <row r="733" spans="1:22" ht="15.6" outlineLevel="1" x14ac:dyDescent="0.3">
      <c r="A733" s="330"/>
      <c r="B733" s="236"/>
      <c r="C733" s="249"/>
      <c r="D733" s="218"/>
      <c r="E733" s="217" t="s">
        <v>736</v>
      </c>
      <c r="F733" s="217" t="s">
        <v>519</v>
      </c>
      <c r="G733" s="218"/>
      <c r="H733" s="208" t="s">
        <v>520</v>
      </c>
      <c r="I733" s="238"/>
      <c r="J733" s="238"/>
      <c r="K733" s="238"/>
      <c r="L733" s="238"/>
      <c r="M733" s="500"/>
      <c r="N733" s="528"/>
      <c r="O733" s="299"/>
      <c r="P733" s="300"/>
      <c r="Q733" s="384"/>
      <c r="R733" s="222">
        <f t="shared" si="23"/>
        <v>0</v>
      </c>
      <c r="S733" s="347"/>
      <c r="T733" s="347"/>
      <c r="U733" s="347"/>
      <c r="V733" s="347"/>
    </row>
    <row r="734" spans="1:22" ht="15.6" outlineLevel="1" x14ac:dyDescent="0.3">
      <c r="A734" s="330"/>
      <c r="B734" s="236"/>
      <c r="C734" s="249"/>
      <c r="D734" s="218"/>
      <c r="E734" s="217" t="s">
        <v>574</v>
      </c>
      <c r="F734" s="217" t="s">
        <v>519</v>
      </c>
      <c r="G734" s="218"/>
      <c r="H734" s="208" t="s">
        <v>520</v>
      </c>
      <c r="I734" s="238"/>
      <c r="J734" s="238"/>
      <c r="K734" s="238"/>
      <c r="L734" s="238"/>
      <c r="M734" s="500"/>
      <c r="N734" s="528"/>
      <c r="O734" s="299"/>
      <c r="P734" s="300"/>
      <c r="Q734" s="384"/>
      <c r="R734" s="222">
        <f t="shared" si="23"/>
        <v>0</v>
      </c>
      <c r="S734" s="347"/>
      <c r="T734" s="347"/>
      <c r="U734" s="347"/>
      <c r="V734" s="347"/>
    </row>
    <row r="735" spans="1:22" ht="15.6" outlineLevel="1" x14ac:dyDescent="0.3">
      <c r="A735" s="330"/>
      <c r="B735" s="236"/>
      <c r="C735" s="249"/>
      <c r="D735" s="218"/>
      <c r="E735" s="217" t="s">
        <v>574</v>
      </c>
      <c r="F735" s="217" t="s">
        <v>519</v>
      </c>
      <c r="G735" s="218"/>
      <c r="H735" s="208" t="s">
        <v>520</v>
      </c>
      <c r="I735" s="238"/>
      <c r="J735" s="238"/>
      <c r="K735" s="238"/>
      <c r="L735" s="238"/>
      <c r="M735" s="500"/>
      <c r="N735" s="528"/>
      <c r="O735" s="299"/>
      <c r="P735" s="300"/>
      <c r="Q735" s="384"/>
      <c r="R735" s="222">
        <f t="shared" si="23"/>
        <v>0</v>
      </c>
      <c r="S735" s="347"/>
      <c r="T735" s="347"/>
      <c r="U735" s="347"/>
      <c r="V735" s="347"/>
    </row>
    <row r="736" spans="1:22" ht="15.6" outlineLevel="1" x14ac:dyDescent="0.3">
      <c r="A736" s="330"/>
      <c r="B736" s="236"/>
      <c r="C736" s="249"/>
      <c r="D736" s="218"/>
      <c r="E736" s="217" t="s">
        <v>574</v>
      </c>
      <c r="F736" s="217" t="s">
        <v>519</v>
      </c>
      <c r="G736" s="218"/>
      <c r="H736" s="208" t="s">
        <v>520</v>
      </c>
      <c r="I736" s="238"/>
      <c r="J736" s="238"/>
      <c r="K736" s="238"/>
      <c r="L736" s="238"/>
      <c r="M736" s="500"/>
      <c r="N736" s="528"/>
      <c r="O736" s="299"/>
      <c r="P736" s="300"/>
      <c r="Q736" s="384"/>
      <c r="R736" s="222">
        <f t="shared" si="23"/>
        <v>0</v>
      </c>
      <c r="S736" s="347"/>
      <c r="T736" s="347"/>
      <c r="U736" s="347"/>
      <c r="V736" s="347"/>
    </row>
    <row r="737" spans="1:22" ht="15.6" outlineLevel="1" x14ac:dyDescent="0.3">
      <c r="A737" s="330"/>
      <c r="B737" s="236"/>
      <c r="C737" s="249"/>
      <c r="D737" s="218"/>
      <c r="E737" s="217" t="s">
        <v>574</v>
      </c>
      <c r="F737" s="217" t="s">
        <v>519</v>
      </c>
      <c r="G737" s="218"/>
      <c r="H737" s="208" t="s">
        <v>520</v>
      </c>
      <c r="I737" s="238"/>
      <c r="J737" s="238"/>
      <c r="K737" s="238"/>
      <c r="L737" s="238"/>
      <c r="M737" s="500"/>
      <c r="N737" s="528"/>
      <c r="O737" s="299"/>
      <c r="P737" s="300"/>
      <c r="Q737" s="384"/>
      <c r="R737" s="222">
        <f t="shared" si="23"/>
        <v>0</v>
      </c>
      <c r="S737" s="347"/>
      <c r="T737" s="347"/>
      <c r="U737" s="347"/>
      <c r="V737" s="347"/>
    </row>
    <row r="738" spans="1:22" ht="15.6" outlineLevel="1" x14ac:dyDescent="0.3">
      <c r="A738" s="330"/>
      <c r="B738" s="236"/>
      <c r="C738" s="249"/>
      <c r="D738" s="218"/>
      <c r="E738" s="217" t="s">
        <v>574</v>
      </c>
      <c r="F738" s="217" t="s">
        <v>519</v>
      </c>
      <c r="G738" s="218"/>
      <c r="H738" s="208" t="s">
        <v>520</v>
      </c>
      <c r="I738" s="238"/>
      <c r="J738" s="238"/>
      <c r="K738" s="238"/>
      <c r="L738" s="238"/>
      <c r="M738" s="500"/>
      <c r="N738" s="528"/>
      <c r="O738" s="299"/>
      <c r="P738" s="300"/>
      <c r="Q738" s="384"/>
      <c r="R738" s="222">
        <f t="shared" si="23"/>
        <v>0</v>
      </c>
      <c r="S738" s="347"/>
      <c r="T738" s="347"/>
      <c r="U738" s="347"/>
      <c r="V738" s="347"/>
    </row>
    <row r="739" spans="1:22" ht="15.6" outlineLevel="1" x14ac:dyDescent="0.3">
      <c r="A739" s="330"/>
      <c r="B739" s="236"/>
      <c r="C739" s="249"/>
      <c r="D739" s="218"/>
      <c r="E739" s="217" t="s">
        <v>574</v>
      </c>
      <c r="F739" s="217" t="s">
        <v>519</v>
      </c>
      <c r="G739" s="218"/>
      <c r="H739" s="208" t="s">
        <v>520</v>
      </c>
      <c r="I739" s="238"/>
      <c r="J739" s="238"/>
      <c r="K739" s="238"/>
      <c r="L739" s="238"/>
      <c r="M739" s="500"/>
      <c r="N739" s="528"/>
      <c r="O739" s="299"/>
      <c r="P739" s="300"/>
      <c r="Q739" s="384"/>
      <c r="R739" s="222">
        <f t="shared" si="23"/>
        <v>0</v>
      </c>
      <c r="S739" s="347"/>
      <c r="T739" s="347"/>
      <c r="U739" s="347"/>
      <c r="V739" s="347"/>
    </row>
    <row r="740" spans="1:22" ht="15.6" outlineLevel="1" x14ac:dyDescent="0.3">
      <c r="A740" s="330"/>
      <c r="B740" s="236"/>
      <c r="C740" s="249"/>
      <c r="D740" s="218"/>
      <c r="E740" s="217" t="s">
        <v>574</v>
      </c>
      <c r="F740" s="217" t="s">
        <v>519</v>
      </c>
      <c r="G740" s="218"/>
      <c r="H740" s="208" t="s">
        <v>520</v>
      </c>
      <c r="I740" s="238"/>
      <c r="J740" s="238"/>
      <c r="K740" s="238"/>
      <c r="L740" s="238"/>
      <c r="M740" s="500"/>
      <c r="N740" s="528"/>
      <c r="O740" s="299"/>
      <c r="P740" s="300"/>
      <c r="Q740" s="384"/>
      <c r="R740" s="222">
        <f t="shared" si="23"/>
        <v>0</v>
      </c>
      <c r="S740" s="347"/>
      <c r="T740" s="347"/>
      <c r="U740" s="347"/>
      <c r="V740" s="347"/>
    </row>
    <row r="741" spans="1:22" ht="15.6" outlineLevel="1" x14ac:dyDescent="0.3">
      <c r="A741" s="330"/>
      <c r="B741" s="236"/>
      <c r="C741" s="249"/>
      <c r="D741" s="218"/>
      <c r="E741" s="217" t="s">
        <v>574</v>
      </c>
      <c r="F741" s="217" t="s">
        <v>519</v>
      </c>
      <c r="G741" s="218"/>
      <c r="H741" s="208" t="s">
        <v>520</v>
      </c>
      <c r="I741" s="238"/>
      <c r="J741" s="238"/>
      <c r="K741" s="238"/>
      <c r="L741" s="238"/>
      <c r="M741" s="500"/>
      <c r="N741" s="528"/>
      <c r="O741" s="299"/>
      <c r="P741" s="300"/>
      <c r="Q741" s="384"/>
      <c r="R741" s="222">
        <f t="shared" si="23"/>
        <v>0</v>
      </c>
      <c r="S741" s="347"/>
      <c r="T741" s="347"/>
      <c r="U741" s="347"/>
      <c r="V741" s="347"/>
    </row>
    <row r="742" spans="1:22" ht="15.6" outlineLevel="1" x14ac:dyDescent="0.3">
      <c r="A742" s="330"/>
      <c r="B742" s="236"/>
      <c r="C742" s="249"/>
      <c r="D742" s="218"/>
      <c r="E742" s="217" t="s">
        <v>574</v>
      </c>
      <c r="F742" s="217" t="s">
        <v>519</v>
      </c>
      <c r="G742" s="218"/>
      <c r="H742" s="208" t="s">
        <v>520</v>
      </c>
      <c r="I742" s="238"/>
      <c r="J742" s="238"/>
      <c r="K742" s="238"/>
      <c r="L742" s="238"/>
      <c r="M742" s="500"/>
      <c r="N742" s="528"/>
      <c r="O742" s="299"/>
      <c r="P742" s="300"/>
      <c r="Q742" s="384"/>
      <c r="R742" s="222">
        <f t="shared" si="23"/>
        <v>0</v>
      </c>
      <c r="S742" s="347"/>
      <c r="T742" s="347"/>
      <c r="U742" s="347"/>
      <c r="V742" s="347"/>
    </row>
    <row r="743" spans="1:22" ht="15.6" outlineLevel="1" x14ac:dyDescent="0.3">
      <c r="A743" s="330"/>
      <c r="B743" s="236"/>
      <c r="C743" s="249"/>
      <c r="D743" s="218"/>
      <c r="E743" s="217" t="s">
        <v>810</v>
      </c>
      <c r="F743" s="217" t="s">
        <v>519</v>
      </c>
      <c r="G743" s="218"/>
      <c r="H743" s="208" t="s">
        <v>520</v>
      </c>
      <c r="I743" s="238"/>
      <c r="J743" s="238"/>
      <c r="K743" s="238"/>
      <c r="L743" s="238"/>
      <c r="M743" s="500"/>
      <c r="N743" s="528"/>
      <c r="O743" s="299"/>
      <c r="P743" s="300"/>
      <c r="Q743" s="384"/>
      <c r="R743" s="222">
        <f t="shared" si="23"/>
        <v>0</v>
      </c>
      <c r="S743" s="347"/>
      <c r="T743" s="347"/>
      <c r="U743" s="347"/>
      <c r="V743" s="347"/>
    </row>
    <row r="744" spans="1:22" ht="15.6" outlineLevel="1" x14ac:dyDescent="0.3">
      <c r="A744" s="330"/>
      <c r="B744" s="236"/>
      <c r="C744" s="249"/>
      <c r="D744" s="218"/>
      <c r="E744" s="217" t="s">
        <v>574</v>
      </c>
      <c r="F744" s="217" t="s">
        <v>519</v>
      </c>
      <c r="G744" s="218"/>
      <c r="H744" s="208" t="s">
        <v>520</v>
      </c>
      <c r="I744" s="238"/>
      <c r="J744" s="238"/>
      <c r="K744" s="238"/>
      <c r="L744" s="238"/>
      <c r="M744" s="500"/>
      <c r="N744" s="528"/>
      <c r="O744" s="299"/>
      <c r="P744" s="300"/>
      <c r="Q744" s="384"/>
      <c r="R744" s="222">
        <f t="shared" si="23"/>
        <v>0</v>
      </c>
      <c r="S744" s="347"/>
      <c r="T744" s="347"/>
      <c r="U744" s="347"/>
      <c r="V744" s="347"/>
    </row>
    <row r="745" spans="1:22" ht="15.6" outlineLevel="1" x14ac:dyDescent="0.3">
      <c r="A745" s="330"/>
      <c r="B745" s="236"/>
      <c r="C745" s="249"/>
      <c r="D745" s="218"/>
      <c r="E745" s="217" t="s">
        <v>574</v>
      </c>
      <c r="F745" s="217" t="s">
        <v>519</v>
      </c>
      <c r="G745" s="218"/>
      <c r="H745" s="208" t="s">
        <v>520</v>
      </c>
      <c r="I745" s="238"/>
      <c r="J745" s="238"/>
      <c r="K745" s="238"/>
      <c r="L745" s="238"/>
      <c r="M745" s="500"/>
      <c r="N745" s="528"/>
      <c r="O745" s="299"/>
      <c r="P745" s="300"/>
      <c r="Q745" s="384"/>
      <c r="R745" s="222">
        <f t="shared" si="23"/>
        <v>0</v>
      </c>
      <c r="S745" s="347"/>
      <c r="T745" s="347"/>
      <c r="U745" s="347"/>
      <c r="V745" s="347"/>
    </row>
    <row r="746" spans="1:22" ht="15.6" outlineLevel="1" x14ac:dyDescent="0.3">
      <c r="A746" s="330"/>
      <c r="B746" s="236"/>
      <c r="C746" s="249"/>
      <c r="D746" s="218"/>
      <c r="E746" s="217" t="s">
        <v>574</v>
      </c>
      <c r="F746" s="217" t="s">
        <v>519</v>
      </c>
      <c r="G746" s="218"/>
      <c r="H746" s="208" t="s">
        <v>520</v>
      </c>
      <c r="I746" s="238"/>
      <c r="J746" s="238"/>
      <c r="K746" s="238"/>
      <c r="L746" s="238"/>
      <c r="M746" s="500"/>
      <c r="N746" s="528"/>
      <c r="O746" s="299"/>
      <c r="P746" s="300"/>
      <c r="Q746" s="384"/>
      <c r="R746" s="222">
        <f t="shared" si="23"/>
        <v>0</v>
      </c>
      <c r="S746" s="347"/>
      <c r="T746" s="347"/>
      <c r="U746" s="347"/>
      <c r="V746" s="347"/>
    </row>
    <row r="747" spans="1:22" ht="15.6" outlineLevel="1" x14ac:dyDescent="0.3">
      <c r="A747" s="330"/>
      <c r="B747" s="236"/>
      <c r="C747" s="249"/>
      <c r="D747" s="218"/>
      <c r="E747" s="217" t="s">
        <v>574</v>
      </c>
      <c r="F747" s="217" t="s">
        <v>519</v>
      </c>
      <c r="G747" s="218"/>
      <c r="H747" s="208" t="s">
        <v>520</v>
      </c>
      <c r="I747" s="238"/>
      <c r="J747" s="238"/>
      <c r="K747" s="238"/>
      <c r="L747" s="238"/>
      <c r="M747" s="500"/>
      <c r="N747" s="528"/>
      <c r="O747" s="299"/>
      <c r="P747" s="300"/>
      <c r="Q747" s="384"/>
      <c r="R747" s="222">
        <f t="shared" si="23"/>
        <v>0</v>
      </c>
      <c r="S747" s="347"/>
      <c r="T747" s="347"/>
      <c r="U747" s="347"/>
      <c r="V747" s="347"/>
    </row>
    <row r="748" spans="1:22" ht="15.6" outlineLevel="1" x14ac:dyDescent="0.3">
      <c r="A748" s="330"/>
      <c r="B748" s="236"/>
      <c r="C748" s="249"/>
      <c r="D748" s="218"/>
      <c r="E748" s="217" t="s">
        <v>574</v>
      </c>
      <c r="F748" s="217" t="s">
        <v>519</v>
      </c>
      <c r="G748" s="218"/>
      <c r="H748" s="208" t="s">
        <v>520</v>
      </c>
      <c r="I748" s="238"/>
      <c r="J748" s="238"/>
      <c r="K748" s="238"/>
      <c r="L748" s="238"/>
      <c r="M748" s="500"/>
      <c r="N748" s="528"/>
      <c r="O748" s="299"/>
      <c r="P748" s="300"/>
      <c r="Q748" s="384"/>
      <c r="R748" s="222">
        <f t="shared" si="23"/>
        <v>0</v>
      </c>
      <c r="S748" s="347"/>
      <c r="T748" s="347"/>
      <c r="U748" s="347"/>
      <c r="V748" s="347"/>
    </row>
    <row r="749" spans="1:22" ht="15.6" outlineLevel="1" x14ac:dyDescent="0.3">
      <c r="A749" s="330"/>
      <c r="B749" s="236"/>
      <c r="C749" s="249"/>
      <c r="D749" s="218"/>
      <c r="E749" s="217" t="s">
        <v>574</v>
      </c>
      <c r="F749" s="217" t="s">
        <v>519</v>
      </c>
      <c r="G749" s="218"/>
      <c r="H749" s="208" t="s">
        <v>520</v>
      </c>
      <c r="I749" s="238"/>
      <c r="J749" s="238"/>
      <c r="K749" s="238"/>
      <c r="L749" s="238"/>
      <c r="M749" s="500"/>
      <c r="N749" s="528"/>
      <c r="O749" s="299"/>
      <c r="P749" s="300"/>
      <c r="Q749" s="384"/>
      <c r="R749" s="222">
        <f t="shared" si="23"/>
        <v>0</v>
      </c>
      <c r="S749" s="347"/>
      <c r="T749" s="347"/>
      <c r="U749" s="347"/>
      <c r="V749" s="347"/>
    </row>
    <row r="750" spans="1:22" ht="15.6" outlineLevel="1" x14ac:dyDescent="0.3">
      <c r="A750" s="330"/>
      <c r="B750" s="236"/>
      <c r="C750" s="249"/>
      <c r="D750" s="218"/>
      <c r="E750" s="217" t="s">
        <v>574</v>
      </c>
      <c r="F750" s="217" t="s">
        <v>519</v>
      </c>
      <c r="G750" s="218"/>
      <c r="H750" s="208" t="s">
        <v>520</v>
      </c>
      <c r="I750" s="238"/>
      <c r="J750" s="238"/>
      <c r="K750" s="238"/>
      <c r="L750" s="238"/>
      <c r="M750" s="500"/>
      <c r="N750" s="528"/>
      <c r="O750" s="299"/>
      <c r="P750" s="300"/>
      <c r="Q750" s="384"/>
      <c r="R750" s="222">
        <f t="shared" si="23"/>
        <v>0</v>
      </c>
      <c r="S750" s="347"/>
      <c r="T750" s="347"/>
      <c r="U750" s="347"/>
      <c r="V750" s="347"/>
    </row>
    <row r="751" spans="1:22" ht="15.6" outlineLevel="1" x14ac:dyDescent="0.3">
      <c r="A751" s="330"/>
      <c r="B751" s="236"/>
      <c r="C751" s="249"/>
      <c r="D751" s="218"/>
      <c r="E751" s="217" t="s">
        <v>574</v>
      </c>
      <c r="F751" s="217" t="s">
        <v>519</v>
      </c>
      <c r="G751" s="218"/>
      <c r="H751" s="208" t="s">
        <v>520</v>
      </c>
      <c r="I751" s="238"/>
      <c r="J751" s="238"/>
      <c r="K751" s="238"/>
      <c r="L751" s="238"/>
      <c r="M751" s="500"/>
      <c r="N751" s="528"/>
      <c r="O751" s="299"/>
      <c r="P751" s="300"/>
      <c r="Q751" s="384"/>
      <c r="R751" s="222">
        <f t="shared" si="23"/>
        <v>0</v>
      </c>
      <c r="S751" s="347"/>
      <c r="T751" s="347"/>
      <c r="U751" s="347"/>
      <c r="V751" s="347"/>
    </row>
    <row r="752" spans="1:22" ht="15.6" outlineLevel="1" x14ac:dyDescent="0.3">
      <c r="A752" s="330"/>
      <c r="B752" s="236"/>
      <c r="C752" s="249"/>
      <c r="D752" s="218"/>
      <c r="E752" s="217" t="s">
        <v>574</v>
      </c>
      <c r="F752" s="217" t="s">
        <v>519</v>
      </c>
      <c r="G752" s="218"/>
      <c r="H752" s="208" t="s">
        <v>520</v>
      </c>
      <c r="I752" s="238"/>
      <c r="J752" s="238"/>
      <c r="K752" s="238"/>
      <c r="L752" s="238"/>
      <c r="M752" s="500"/>
      <c r="N752" s="528"/>
      <c r="O752" s="299"/>
      <c r="P752" s="300"/>
      <c r="Q752" s="384"/>
      <c r="R752" s="222">
        <f t="shared" si="23"/>
        <v>0</v>
      </c>
      <c r="S752" s="347"/>
      <c r="T752" s="347"/>
      <c r="U752" s="347"/>
      <c r="V752" s="347"/>
    </row>
    <row r="753" spans="1:22" ht="15.6" outlineLevel="1" x14ac:dyDescent="0.3">
      <c r="A753" s="330"/>
      <c r="B753" s="236"/>
      <c r="C753" s="249"/>
      <c r="D753" s="218"/>
      <c r="E753" s="217" t="s">
        <v>574</v>
      </c>
      <c r="F753" s="217" t="s">
        <v>519</v>
      </c>
      <c r="G753" s="218"/>
      <c r="H753" s="208" t="s">
        <v>520</v>
      </c>
      <c r="I753" s="238"/>
      <c r="J753" s="238"/>
      <c r="K753" s="238"/>
      <c r="L753" s="238"/>
      <c r="M753" s="500"/>
      <c r="N753" s="528"/>
      <c r="O753" s="299"/>
      <c r="P753" s="300"/>
      <c r="Q753" s="384"/>
      <c r="R753" s="222">
        <f t="shared" si="23"/>
        <v>0</v>
      </c>
      <c r="S753" s="347"/>
      <c r="T753" s="347"/>
      <c r="U753" s="347"/>
      <c r="V753" s="347"/>
    </row>
    <row r="754" spans="1:22" ht="15.6" outlineLevel="1" x14ac:dyDescent="0.3">
      <c r="A754" s="330"/>
      <c r="B754" s="236"/>
      <c r="C754" s="249"/>
      <c r="D754" s="218"/>
      <c r="E754" s="217" t="s">
        <v>574</v>
      </c>
      <c r="F754" s="217" t="s">
        <v>519</v>
      </c>
      <c r="G754" s="218"/>
      <c r="H754" s="208" t="s">
        <v>520</v>
      </c>
      <c r="I754" s="238"/>
      <c r="J754" s="238"/>
      <c r="K754" s="238"/>
      <c r="L754" s="238"/>
      <c r="M754" s="500"/>
      <c r="N754" s="528"/>
      <c r="O754" s="299"/>
      <c r="P754" s="300"/>
      <c r="Q754" s="384"/>
      <c r="R754" s="222">
        <f t="shared" si="23"/>
        <v>0</v>
      </c>
      <c r="S754" s="347"/>
      <c r="T754" s="347"/>
      <c r="U754" s="347"/>
      <c r="V754" s="347"/>
    </row>
    <row r="755" spans="1:22" ht="15.6" outlineLevel="1" x14ac:dyDescent="0.3">
      <c r="A755" s="330"/>
      <c r="B755" s="236"/>
      <c r="C755" s="249"/>
      <c r="D755" s="218"/>
      <c r="E755" s="217" t="s">
        <v>574</v>
      </c>
      <c r="F755" s="217" t="s">
        <v>519</v>
      </c>
      <c r="G755" s="218"/>
      <c r="H755" s="208" t="s">
        <v>520</v>
      </c>
      <c r="I755" s="238"/>
      <c r="J755" s="238"/>
      <c r="K755" s="238"/>
      <c r="L755" s="238"/>
      <c r="M755" s="500"/>
      <c r="N755" s="528"/>
      <c r="O755" s="299"/>
      <c r="P755" s="300"/>
      <c r="Q755" s="384"/>
      <c r="R755" s="222">
        <f t="shared" si="23"/>
        <v>0</v>
      </c>
      <c r="S755" s="347"/>
      <c r="T755" s="347"/>
      <c r="U755" s="347"/>
      <c r="V755" s="347"/>
    </row>
    <row r="756" spans="1:22" ht="15.6" outlineLevel="1" x14ac:dyDescent="0.3">
      <c r="A756" s="330"/>
      <c r="B756" s="236"/>
      <c r="C756" s="249"/>
      <c r="D756" s="218"/>
      <c r="E756" s="217" t="s">
        <v>574</v>
      </c>
      <c r="F756" s="217" t="s">
        <v>519</v>
      </c>
      <c r="G756" s="218"/>
      <c r="H756" s="208" t="s">
        <v>520</v>
      </c>
      <c r="I756" s="238"/>
      <c r="J756" s="238"/>
      <c r="K756" s="238"/>
      <c r="L756" s="238"/>
      <c r="M756" s="500"/>
      <c r="N756" s="528"/>
      <c r="O756" s="299"/>
      <c r="P756" s="300"/>
      <c r="Q756" s="384"/>
      <c r="R756" s="222">
        <f t="shared" ref="R756:R780" si="24">SUM(S756,T756,U756,V756)</f>
        <v>0</v>
      </c>
      <c r="S756" s="347"/>
      <c r="T756" s="347"/>
      <c r="U756" s="347"/>
      <c r="V756" s="347"/>
    </row>
    <row r="757" spans="1:22" ht="15.6" outlineLevel="1" x14ac:dyDescent="0.3">
      <c r="A757" s="330"/>
      <c r="B757" s="236"/>
      <c r="C757" s="249"/>
      <c r="D757" s="218"/>
      <c r="E757" s="217" t="s">
        <v>574</v>
      </c>
      <c r="F757" s="217" t="s">
        <v>519</v>
      </c>
      <c r="G757" s="218"/>
      <c r="H757" s="208" t="s">
        <v>520</v>
      </c>
      <c r="I757" s="238"/>
      <c r="J757" s="238"/>
      <c r="K757" s="238"/>
      <c r="L757" s="238"/>
      <c r="M757" s="500"/>
      <c r="N757" s="528"/>
      <c r="O757" s="299"/>
      <c r="P757" s="300"/>
      <c r="Q757" s="384"/>
      <c r="R757" s="222">
        <f t="shared" si="24"/>
        <v>0</v>
      </c>
      <c r="S757" s="347"/>
      <c r="T757" s="347"/>
      <c r="U757" s="347"/>
      <c r="V757" s="347"/>
    </row>
    <row r="758" spans="1:22" ht="15.6" outlineLevel="1" x14ac:dyDescent="0.3">
      <c r="A758" s="330"/>
      <c r="B758" s="236"/>
      <c r="C758" s="249"/>
      <c r="D758" s="218"/>
      <c r="E758" s="217" t="s">
        <v>574</v>
      </c>
      <c r="F758" s="217" t="s">
        <v>519</v>
      </c>
      <c r="G758" s="218"/>
      <c r="H758" s="208" t="s">
        <v>520</v>
      </c>
      <c r="I758" s="238"/>
      <c r="J758" s="238"/>
      <c r="K758" s="238"/>
      <c r="L758" s="238"/>
      <c r="M758" s="500"/>
      <c r="N758" s="528"/>
      <c r="O758" s="299"/>
      <c r="P758" s="300"/>
      <c r="Q758" s="384"/>
      <c r="R758" s="222">
        <f t="shared" si="24"/>
        <v>0</v>
      </c>
      <c r="S758" s="347"/>
      <c r="T758" s="347"/>
      <c r="U758" s="347"/>
      <c r="V758" s="347"/>
    </row>
    <row r="759" spans="1:22" ht="15.6" outlineLevel="1" x14ac:dyDescent="0.3">
      <c r="A759" s="330"/>
      <c r="B759" s="236"/>
      <c r="C759" s="249"/>
      <c r="D759" s="218"/>
      <c r="E759" s="217" t="s">
        <v>574</v>
      </c>
      <c r="F759" s="217" t="s">
        <v>519</v>
      </c>
      <c r="G759" s="218"/>
      <c r="H759" s="208" t="s">
        <v>520</v>
      </c>
      <c r="I759" s="238"/>
      <c r="J759" s="238"/>
      <c r="K759" s="238"/>
      <c r="L759" s="238"/>
      <c r="M759" s="500"/>
      <c r="N759" s="528"/>
      <c r="O759" s="299"/>
      <c r="P759" s="300"/>
      <c r="Q759" s="384"/>
      <c r="R759" s="222">
        <f t="shared" si="24"/>
        <v>0</v>
      </c>
      <c r="S759" s="347"/>
      <c r="T759" s="347"/>
      <c r="U759" s="347"/>
      <c r="V759" s="347"/>
    </row>
    <row r="760" spans="1:22" ht="15.6" outlineLevel="1" x14ac:dyDescent="0.3">
      <c r="A760" s="330"/>
      <c r="B760" s="236"/>
      <c r="C760" s="249"/>
      <c r="D760" s="218"/>
      <c r="E760" s="217" t="s">
        <v>574</v>
      </c>
      <c r="F760" s="217" t="s">
        <v>519</v>
      </c>
      <c r="G760" s="218"/>
      <c r="H760" s="208" t="s">
        <v>520</v>
      </c>
      <c r="I760" s="238"/>
      <c r="J760" s="238"/>
      <c r="K760" s="238"/>
      <c r="L760" s="238"/>
      <c r="M760" s="500"/>
      <c r="N760" s="528"/>
      <c r="O760" s="299"/>
      <c r="P760" s="300"/>
      <c r="Q760" s="384"/>
      <c r="R760" s="222">
        <f t="shared" si="24"/>
        <v>0</v>
      </c>
      <c r="S760" s="347"/>
      <c r="T760" s="347"/>
      <c r="U760" s="347"/>
      <c r="V760" s="347"/>
    </row>
    <row r="761" spans="1:22" ht="15.6" outlineLevel="1" x14ac:dyDescent="0.3">
      <c r="A761" s="330"/>
      <c r="B761" s="236"/>
      <c r="C761" s="249"/>
      <c r="D761" s="218"/>
      <c r="E761" s="217" t="s">
        <v>574</v>
      </c>
      <c r="F761" s="217" t="s">
        <v>519</v>
      </c>
      <c r="G761" s="218"/>
      <c r="H761" s="208" t="s">
        <v>520</v>
      </c>
      <c r="I761" s="238"/>
      <c r="J761" s="238"/>
      <c r="K761" s="238"/>
      <c r="L761" s="238"/>
      <c r="M761" s="500"/>
      <c r="N761" s="528"/>
      <c r="O761" s="299"/>
      <c r="P761" s="300"/>
      <c r="Q761" s="384"/>
      <c r="R761" s="222">
        <f t="shared" si="24"/>
        <v>0</v>
      </c>
      <c r="S761" s="347"/>
      <c r="T761" s="347"/>
      <c r="U761" s="347"/>
      <c r="V761" s="347"/>
    </row>
    <row r="762" spans="1:22" ht="15.6" outlineLevel="1" x14ac:dyDescent="0.3">
      <c r="A762" s="330"/>
      <c r="B762" s="236"/>
      <c r="C762" s="249"/>
      <c r="D762" s="218"/>
      <c r="E762" s="217" t="s">
        <v>574</v>
      </c>
      <c r="F762" s="217" t="s">
        <v>519</v>
      </c>
      <c r="G762" s="218"/>
      <c r="H762" s="208" t="s">
        <v>520</v>
      </c>
      <c r="I762" s="238"/>
      <c r="J762" s="238"/>
      <c r="K762" s="238"/>
      <c r="L762" s="238"/>
      <c r="M762" s="500"/>
      <c r="N762" s="528"/>
      <c r="O762" s="299"/>
      <c r="P762" s="300"/>
      <c r="Q762" s="384"/>
      <c r="R762" s="222">
        <f t="shared" si="24"/>
        <v>0</v>
      </c>
      <c r="S762" s="347"/>
      <c r="T762" s="347"/>
      <c r="U762" s="347"/>
      <c r="V762" s="347"/>
    </row>
    <row r="763" spans="1:22" ht="15.6" outlineLevel="1" x14ac:dyDescent="0.3">
      <c r="A763" s="330"/>
      <c r="B763" s="236"/>
      <c r="C763" s="249"/>
      <c r="D763" s="218"/>
      <c r="E763" s="217" t="s">
        <v>574</v>
      </c>
      <c r="F763" s="217" t="s">
        <v>519</v>
      </c>
      <c r="G763" s="218"/>
      <c r="H763" s="208" t="s">
        <v>520</v>
      </c>
      <c r="I763" s="238"/>
      <c r="J763" s="238"/>
      <c r="K763" s="238"/>
      <c r="L763" s="238"/>
      <c r="M763" s="500"/>
      <c r="N763" s="528"/>
      <c r="O763" s="299"/>
      <c r="P763" s="300"/>
      <c r="Q763" s="384"/>
      <c r="R763" s="222">
        <f t="shared" si="24"/>
        <v>0</v>
      </c>
      <c r="S763" s="347"/>
      <c r="T763" s="347"/>
      <c r="U763" s="347"/>
      <c r="V763" s="347"/>
    </row>
    <row r="764" spans="1:22" ht="15.6" outlineLevel="1" x14ac:dyDescent="0.3">
      <c r="A764" s="330"/>
      <c r="B764" s="236"/>
      <c r="C764" s="249"/>
      <c r="D764" s="218"/>
      <c r="E764" s="217" t="s">
        <v>574</v>
      </c>
      <c r="F764" s="217" t="s">
        <v>519</v>
      </c>
      <c r="G764" s="218"/>
      <c r="H764" s="208" t="s">
        <v>520</v>
      </c>
      <c r="I764" s="238"/>
      <c r="J764" s="238"/>
      <c r="K764" s="238"/>
      <c r="L764" s="238"/>
      <c r="M764" s="500"/>
      <c r="N764" s="528"/>
      <c r="O764" s="299"/>
      <c r="P764" s="300"/>
      <c r="Q764" s="384"/>
      <c r="R764" s="222">
        <f t="shared" si="24"/>
        <v>0</v>
      </c>
      <c r="S764" s="347"/>
      <c r="T764" s="347"/>
      <c r="U764" s="347"/>
      <c r="V764" s="347"/>
    </row>
    <row r="765" spans="1:22" ht="15.6" outlineLevel="1" x14ac:dyDescent="0.3">
      <c r="A765" s="330"/>
      <c r="B765" s="236"/>
      <c r="C765" s="249"/>
      <c r="D765" s="218"/>
      <c r="E765" s="217" t="s">
        <v>574</v>
      </c>
      <c r="F765" s="217" t="s">
        <v>519</v>
      </c>
      <c r="G765" s="218"/>
      <c r="H765" s="208" t="s">
        <v>520</v>
      </c>
      <c r="I765" s="238"/>
      <c r="J765" s="238"/>
      <c r="K765" s="238"/>
      <c r="L765" s="238"/>
      <c r="M765" s="500"/>
      <c r="N765" s="528"/>
      <c r="O765" s="299"/>
      <c r="P765" s="300"/>
      <c r="Q765" s="384"/>
      <c r="R765" s="222">
        <f t="shared" si="24"/>
        <v>0</v>
      </c>
      <c r="S765" s="347"/>
      <c r="T765" s="347"/>
      <c r="U765" s="347"/>
      <c r="V765" s="347"/>
    </row>
    <row r="766" spans="1:22" ht="15.6" outlineLevel="1" x14ac:dyDescent="0.3">
      <c r="A766" s="330"/>
      <c r="B766" s="236"/>
      <c r="C766" s="249"/>
      <c r="D766" s="218"/>
      <c r="E766" s="217" t="s">
        <v>810</v>
      </c>
      <c r="F766" s="217" t="s">
        <v>519</v>
      </c>
      <c r="G766" s="218"/>
      <c r="H766" s="208" t="s">
        <v>520</v>
      </c>
      <c r="I766" s="238"/>
      <c r="J766" s="238"/>
      <c r="K766" s="238"/>
      <c r="L766" s="238"/>
      <c r="M766" s="500"/>
      <c r="N766" s="528"/>
      <c r="O766" s="299"/>
      <c r="P766" s="300"/>
      <c r="Q766" s="384"/>
      <c r="R766" s="222">
        <f t="shared" si="24"/>
        <v>0</v>
      </c>
      <c r="S766" s="347"/>
      <c r="T766" s="347"/>
      <c r="U766" s="347"/>
      <c r="V766" s="347"/>
    </row>
    <row r="767" spans="1:22" ht="15.6" outlineLevel="1" x14ac:dyDescent="0.3">
      <c r="A767" s="330"/>
      <c r="B767" s="236"/>
      <c r="C767" s="249"/>
      <c r="D767" s="218"/>
      <c r="E767" s="217" t="s">
        <v>811</v>
      </c>
      <c r="F767" s="217" t="s">
        <v>519</v>
      </c>
      <c r="G767" s="218"/>
      <c r="H767" s="208" t="s">
        <v>520</v>
      </c>
      <c r="I767" s="238"/>
      <c r="J767" s="238"/>
      <c r="K767" s="238"/>
      <c r="L767" s="238"/>
      <c r="M767" s="500"/>
      <c r="N767" s="528"/>
      <c r="O767" s="299"/>
      <c r="P767" s="300"/>
      <c r="Q767" s="384"/>
      <c r="R767" s="222">
        <f t="shared" si="24"/>
        <v>0</v>
      </c>
      <c r="S767" s="347"/>
      <c r="T767" s="347"/>
      <c r="U767" s="347"/>
      <c r="V767" s="347"/>
    </row>
    <row r="768" spans="1:22" ht="15.6" outlineLevel="1" x14ac:dyDescent="0.3">
      <c r="A768" s="330"/>
      <c r="B768" s="236"/>
      <c r="C768" s="249"/>
      <c r="D768" s="218"/>
      <c r="E768" s="217" t="s">
        <v>811</v>
      </c>
      <c r="F768" s="217" t="s">
        <v>519</v>
      </c>
      <c r="G768" s="218"/>
      <c r="H768" s="208" t="s">
        <v>520</v>
      </c>
      <c r="I768" s="238"/>
      <c r="J768" s="238"/>
      <c r="K768" s="238"/>
      <c r="L768" s="238"/>
      <c r="M768" s="500"/>
      <c r="N768" s="528"/>
      <c r="O768" s="299"/>
      <c r="P768" s="300"/>
      <c r="Q768" s="384"/>
      <c r="R768" s="222">
        <f t="shared" si="24"/>
        <v>0</v>
      </c>
      <c r="S768" s="347"/>
      <c r="T768" s="347"/>
      <c r="U768" s="347"/>
      <c r="V768" s="347"/>
    </row>
    <row r="769" spans="1:22" ht="15.6" outlineLevel="1" x14ac:dyDescent="0.3">
      <c r="A769" s="330"/>
      <c r="B769" s="236"/>
      <c r="C769" s="249"/>
      <c r="D769" s="218"/>
      <c r="E769" s="217" t="s">
        <v>574</v>
      </c>
      <c r="F769" s="217" t="s">
        <v>519</v>
      </c>
      <c r="G769" s="218"/>
      <c r="H769" s="208" t="s">
        <v>520</v>
      </c>
      <c r="I769" s="238"/>
      <c r="J769" s="238"/>
      <c r="K769" s="238"/>
      <c r="L769" s="238"/>
      <c r="M769" s="500"/>
      <c r="N769" s="528"/>
      <c r="O769" s="299"/>
      <c r="P769" s="300"/>
      <c r="Q769" s="384"/>
      <c r="R769" s="222">
        <f t="shared" si="24"/>
        <v>0</v>
      </c>
      <c r="S769" s="347"/>
      <c r="T769" s="347"/>
      <c r="U769" s="347"/>
      <c r="V769" s="347"/>
    </row>
    <row r="770" spans="1:22" ht="15.6" outlineLevel="1" x14ac:dyDescent="0.3">
      <c r="A770" s="330"/>
      <c r="B770" s="236"/>
      <c r="C770" s="249"/>
      <c r="D770" s="218"/>
      <c r="E770" s="217" t="s">
        <v>574</v>
      </c>
      <c r="F770" s="217" t="s">
        <v>519</v>
      </c>
      <c r="G770" s="218"/>
      <c r="H770" s="208" t="s">
        <v>520</v>
      </c>
      <c r="I770" s="238"/>
      <c r="J770" s="238"/>
      <c r="K770" s="238"/>
      <c r="L770" s="238"/>
      <c r="M770" s="500"/>
      <c r="N770" s="528"/>
      <c r="O770" s="299"/>
      <c r="P770" s="300"/>
      <c r="Q770" s="384"/>
      <c r="R770" s="222">
        <f t="shared" si="24"/>
        <v>0</v>
      </c>
      <c r="S770" s="347"/>
      <c r="T770" s="347"/>
      <c r="U770" s="347"/>
      <c r="V770" s="347"/>
    </row>
    <row r="771" spans="1:22" ht="15.6" outlineLevel="1" x14ac:dyDescent="0.3">
      <c r="A771" s="330"/>
      <c r="B771" s="236"/>
      <c r="C771" s="249"/>
      <c r="D771" s="218"/>
      <c r="E771" s="217" t="s">
        <v>574</v>
      </c>
      <c r="F771" s="217" t="s">
        <v>519</v>
      </c>
      <c r="G771" s="218"/>
      <c r="H771" s="208" t="s">
        <v>520</v>
      </c>
      <c r="I771" s="238"/>
      <c r="J771" s="238"/>
      <c r="K771" s="238"/>
      <c r="L771" s="238"/>
      <c r="M771" s="500"/>
      <c r="N771" s="528"/>
      <c r="O771" s="299"/>
      <c r="P771" s="300"/>
      <c r="Q771" s="384"/>
      <c r="R771" s="222">
        <f t="shared" si="24"/>
        <v>0</v>
      </c>
      <c r="S771" s="347"/>
      <c r="T771" s="347"/>
      <c r="U771" s="347"/>
      <c r="V771" s="347"/>
    </row>
    <row r="772" spans="1:22" ht="15.6" outlineLevel="1" x14ac:dyDescent="0.3">
      <c r="A772" s="330"/>
      <c r="B772" s="236"/>
      <c r="C772" s="249"/>
      <c r="D772" s="218"/>
      <c r="E772" s="217" t="s">
        <v>574</v>
      </c>
      <c r="F772" s="217" t="s">
        <v>519</v>
      </c>
      <c r="G772" s="218"/>
      <c r="H772" s="208" t="s">
        <v>520</v>
      </c>
      <c r="I772" s="238"/>
      <c r="J772" s="238"/>
      <c r="K772" s="238"/>
      <c r="L772" s="238"/>
      <c r="M772" s="500"/>
      <c r="N772" s="528"/>
      <c r="O772" s="299"/>
      <c r="P772" s="300"/>
      <c r="Q772" s="384"/>
      <c r="R772" s="222">
        <f t="shared" si="24"/>
        <v>0</v>
      </c>
      <c r="S772" s="347"/>
      <c r="T772" s="347"/>
      <c r="U772" s="347"/>
      <c r="V772" s="347"/>
    </row>
    <row r="773" spans="1:22" ht="15.6" outlineLevel="1" x14ac:dyDescent="0.3">
      <c r="A773" s="330"/>
      <c r="B773" s="237"/>
      <c r="C773" s="249"/>
      <c r="D773" s="218"/>
      <c r="E773" s="217" t="s">
        <v>574</v>
      </c>
      <c r="F773" s="217" t="s">
        <v>519</v>
      </c>
      <c r="G773" s="218"/>
      <c r="H773" s="208" t="s">
        <v>520</v>
      </c>
      <c r="I773" s="238"/>
      <c r="J773" s="238"/>
      <c r="K773" s="238"/>
      <c r="L773" s="238"/>
      <c r="M773" s="500"/>
      <c r="N773" s="528"/>
      <c r="O773" s="299"/>
      <c r="P773" s="300"/>
      <c r="Q773" s="384"/>
      <c r="R773" s="222">
        <f t="shared" si="24"/>
        <v>0</v>
      </c>
      <c r="S773" s="347"/>
      <c r="T773" s="347"/>
      <c r="U773" s="347"/>
      <c r="V773" s="347"/>
    </row>
    <row r="774" spans="1:22" ht="15.6" outlineLevel="1" x14ac:dyDescent="0.3">
      <c r="A774" s="330"/>
      <c r="B774" s="237"/>
      <c r="C774" s="249"/>
      <c r="D774" s="218"/>
      <c r="E774" s="217" t="s">
        <v>574</v>
      </c>
      <c r="F774" s="217" t="s">
        <v>519</v>
      </c>
      <c r="G774" s="218"/>
      <c r="H774" s="208" t="s">
        <v>520</v>
      </c>
      <c r="I774" s="238"/>
      <c r="J774" s="238"/>
      <c r="K774" s="238"/>
      <c r="L774" s="238"/>
      <c r="M774" s="500"/>
      <c r="N774" s="528"/>
      <c r="O774" s="299"/>
      <c r="P774" s="300"/>
      <c r="Q774" s="384"/>
      <c r="R774" s="222">
        <f t="shared" si="24"/>
        <v>0</v>
      </c>
      <c r="S774" s="347"/>
      <c r="T774" s="347"/>
      <c r="U774" s="347"/>
      <c r="V774" s="347"/>
    </row>
    <row r="775" spans="1:22" ht="15.6" outlineLevel="1" x14ac:dyDescent="0.3">
      <c r="A775" s="330"/>
      <c r="B775" s="237"/>
      <c r="C775" s="249"/>
      <c r="D775" s="218"/>
      <c r="E775" s="217" t="s">
        <v>574</v>
      </c>
      <c r="F775" s="217" t="s">
        <v>519</v>
      </c>
      <c r="G775" s="218"/>
      <c r="H775" s="208" t="s">
        <v>520</v>
      </c>
      <c r="I775" s="238"/>
      <c r="J775" s="238"/>
      <c r="K775" s="238"/>
      <c r="L775" s="238"/>
      <c r="M775" s="500"/>
      <c r="N775" s="528"/>
      <c r="O775" s="299"/>
      <c r="P775" s="300"/>
      <c r="Q775" s="384"/>
      <c r="R775" s="222">
        <f t="shared" si="24"/>
        <v>0</v>
      </c>
      <c r="S775" s="347"/>
      <c r="T775" s="347"/>
      <c r="U775" s="347"/>
      <c r="V775" s="347"/>
    </row>
    <row r="776" spans="1:22" ht="15.6" outlineLevel="1" x14ac:dyDescent="0.3">
      <c r="A776" s="330"/>
      <c r="B776" s="237"/>
      <c r="C776" s="249"/>
      <c r="D776" s="218"/>
      <c r="E776" s="217" t="s">
        <v>574</v>
      </c>
      <c r="F776" s="217" t="s">
        <v>519</v>
      </c>
      <c r="G776" s="218"/>
      <c r="H776" s="208" t="s">
        <v>520</v>
      </c>
      <c r="I776" s="238"/>
      <c r="J776" s="238"/>
      <c r="K776" s="238"/>
      <c r="L776" s="238"/>
      <c r="M776" s="500"/>
      <c r="N776" s="528"/>
      <c r="O776" s="299"/>
      <c r="P776" s="300"/>
      <c r="Q776" s="384"/>
      <c r="R776" s="222">
        <f t="shared" si="24"/>
        <v>0</v>
      </c>
      <c r="S776" s="347"/>
      <c r="T776" s="347"/>
      <c r="U776" s="347"/>
      <c r="V776" s="347"/>
    </row>
    <row r="777" spans="1:22" ht="15.6" outlineLevel="1" x14ac:dyDescent="0.3">
      <c r="A777" s="330"/>
      <c r="B777" s="237"/>
      <c r="C777" s="249"/>
      <c r="D777" s="218"/>
      <c r="E777" s="217" t="s">
        <v>574</v>
      </c>
      <c r="F777" s="217" t="s">
        <v>519</v>
      </c>
      <c r="G777" s="218"/>
      <c r="H777" s="208" t="s">
        <v>520</v>
      </c>
      <c r="I777" s="238"/>
      <c r="J777" s="238"/>
      <c r="K777" s="238"/>
      <c r="L777" s="238"/>
      <c r="M777" s="500"/>
      <c r="N777" s="528"/>
      <c r="O777" s="299"/>
      <c r="P777" s="300"/>
      <c r="Q777" s="384"/>
      <c r="R777" s="222">
        <f t="shared" si="24"/>
        <v>0</v>
      </c>
      <c r="S777" s="347"/>
      <c r="T777" s="347"/>
      <c r="U777" s="347"/>
      <c r="V777" s="347"/>
    </row>
    <row r="778" spans="1:22" ht="15.6" outlineLevel="1" x14ac:dyDescent="0.3">
      <c r="A778" s="330"/>
      <c r="B778" s="237"/>
      <c r="C778" s="249"/>
      <c r="D778" s="218"/>
      <c r="E778" s="217" t="s">
        <v>574</v>
      </c>
      <c r="F778" s="217" t="s">
        <v>519</v>
      </c>
      <c r="G778" s="218"/>
      <c r="H778" s="208" t="s">
        <v>520</v>
      </c>
      <c r="I778" s="238"/>
      <c r="J778" s="238"/>
      <c r="K778" s="238"/>
      <c r="L778" s="238"/>
      <c r="M778" s="500"/>
      <c r="N778" s="528"/>
      <c r="O778" s="299"/>
      <c r="P778" s="300"/>
      <c r="Q778" s="384"/>
      <c r="R778" s="222">
        <f t="shared" si="24"/>
        <v>0</v>
      </c>
      <c r="S778" s="347"/>
      <c r="T778" s="347"/>
      <c r="U778" s="347"/>
      <c r="V778" s="347"/>
    </row>
    <row r="779" spans="1:22" ht="15.6" outlineLevel="1" x14ac:dyDescent="0.3">
      <c r="A779" s="330"/>
      <c r="B779" s="237"/>
      <c r="C779" s="249"/>
      <c r="D779" s="218"/>
      <c r="E779" s="217" t="s">
        <v>574</v>
      </c>
      <c r="F779" s="217" t="s">
        <v>519</v>
      </c>
      <c r="G779" s="218"/>
      <c r="H779" s="208" t="s">
        <v>520</v>
      </c>
      <c r="I779" s="238"/>
      <c r="J779" s="238"/>
      <c r="K779" s="238"/>
      <c r="L779" s="238"/>
      <c r="M779" s="500"/>
      <c r="N779" s="528"/>
      <c r="O779" s="299"/>
      <c r="P779" s="300"/>
      <c r="Q779" s="384"/>
      <c r="R779" s="222">
        <f t="shared" si="24"/>
        <v>0</v>
      </c>
      <c r="S779" s="347"/>
      <c r="T779" s="347"/>
      <c r="U779" s="347"/>
      <c r="V779" s="347"/>
    </row>
    <row r="780" spans="1:22" ht="15.6" outlineLevel="1" x14ac:dyDescent="0.3">
      <c r="A780" s="330"/>
      <c r="B780" s="237"/>
      <c r="C780" s="249"/>
      <c r="D780" s="218"/>
      <c r="E780" s="217" t="s">
        <v>574</v>
      </c>
      <c r="F780" s="217" t="s">
        <v>519</v>
      </c>
      <c r="G780" s="218"/>
      <c r="H780" s="208" t="s">
        <v>520</v>
      </c>
      <c r="I780" s="238"/>
      <c r="J780" s="238"/>
      <c r="K780" s="238"/>
      <c r="L780" s="238"/>
      <c r="M780" s="500"/>
      <c r="N780" s="528"/>
      <c r="O780" s="299"/>
      <c r="P780" s="300"/>
      <c r="Q780" s="384"/>
      <c r="R780" s="222">
        <f t="shared" si="24"/>
        <v>0</v>
      </c>
      <c r="S780" s="347"/>
      <c r="T780" s="347"/>
      <c r="U780" s="347"/>
      <c r="V780" s="347"/>
    </row>
    <row r="781" spans="1:22" ht="15.6" outlineLevel="1" x14ac:dyDescent="0.3">
      <c r="A781" s="330"/>
      <c r="B781" s="237"/>
      <c r="C781" s="249"/>
      <c r="D781" s="218"/>
      <c r="E781" s="217" t="s">
        <v>574</v>
      </c>
      <c r="F781" s="217" t="s">
        <v>519</v>
      </c>
      <c r="G781" s="218"/>
      <c r="H781" s="208" t="s">
        <v>520</v>
      </c>
      <c r="I781" s="238"/>
      <c r="J781" s="238"/>
      <c r="K781" s="238"/>
      <c r="L781" s="238"/>
      <c r="M781" s="500"/>
      <c r="N781" s="528"/>
      <c r="O781" s="299"/>
      <c r="P781" s="300"/>
      <c r="Q781" s="384"/>
      <c r="R781" s="222">
        <f t="shared" ref="R781:R786" si="25">SUM(S781,T781,U781,V781)</f>
        <v>0</v>
      </c>
      <c r="S781" s="347"/>
      <c r="T781" s="347"/>
      <c r="U781" s="347"/>
      <c r="V781" s="347"/>
    </row>
    <row r="782" spans="1:22" ht="15.6" outlineLevel="1" x14ac:dyDescent="0.3">
      <c r="A782" s="330"/>
      <c r="B782" s="237"/>
      <c r="C782" s="249"/>
      <c r="D782" s="218"/>
      <c r="E782" s="217" t="s">
        <v>574</v>
      </c>
      <c r="F782" s="217" t="s">
        <v>519</v>
      </c>
      <c r="G782" s="218"/>
      <c r="H782" s="208" t="s">
        <v>520</v>
      </c>
      <c r="I782" s="238"/>
      <c r="J782" s="238"/>
      <c r="K782" s="238"/>
      <c r="L782" s="238"/>
      <c r="M782" s="500"/>
      <c r="N782" s="528"/>
      <c r="O782" s="299"/>
      <c r="P782" s="300"/>
      <c r="Q782" s="384"/>
      <c r="R782" s="222">
        <f t="shared" si="25"/>
        <v>0</v>
      </c>
      <c r="S782" s="347"/>
      <c r="T782" s="347"/>
      <c r="U782" s="347"/>
      <c r="V782" s="347"/>
    </row>
    <row r="783" spans="1:22" ht="15.6" outlineLevel="1" x14ac:dyDescent="0.3">
      <c r="A783" s="330"/>
      <c r="B783" s="237"/>
      <c r="C783" s="249"/>
      <c r="D783" s="218"/>
      <c r="E783" s="217" t="s">
        <v>574</v>
      </c>
      <c r="F783" s="217" t="s">
        <v>519</v>
      </c>
      <c r="G783" s="218"/>
      <c r="H783" s="208" t="s">
        <v>520</v>
      </c>
      <c r="I783" s="238"/>
      <c r="J783" s="238"/>
      <c r="K783" s="238"/>
      <c r="L783" s="238"/>
      <c r="M783" s="500"/>
      <c r="N783" s="528"/>
      <c r="O783" s="299"/>
      <c r="P783" s="300"/>
      <c r="Q783" s="384"/>
      <c r="R783" s="222">
        <f t="shared" si="25"/>
        <v>0</v>
      </c>
      <c r="S783" s="347"/>
      <c r="T783" s="347"/>
      <c r="U783" s="347"/>
      <c r="V783" s="347"/>
    </row>
    <row r="784" spans="1:22" ht="15.6" outlineLevel="1" x14ac:dyDescent="0.3">
      <c r="A784" s="330"/>
      <c r="B784" s="237"/>
      <c r="C784" s="249"/>
      <c r="D784" s="218"/>
      <c r="E784" s="217" t="s">
        <v>574</v>
      </c>
      <c r="F784" s="217" t="s">
        <v>519</v>
      </c>
      <c r="G784" s="218"/>
      <c r="H784" s="208" t="s">
        <v>520</v>
      </c>
      <c r="I784" s="238"/>
      <c r="J784" s="238"/>
      <c r="K784" s="238"/>
      <c r="L784" s="238"/>
      <c r="M784" s="500"/>
      <c r="N784" s="528"/>
      <c r="O784" s="299"/>
      <c r="P784" s="300"/>
      <c r="Q784" s="384"/>
      <c r="R784" s="222">
        <f t="shared" si="25"/>
        <v>0</v>
      </c>
      <c r="S784" s="347"/>
      <c r="T784" s="347"/>
      <c r="U784" s="347"/>
      <c r="V784" s="347"/>
    </row>
    <row r="785" spans="1:22" ht="15.6" outlineLevel="1" x14ac:dyDescent="0.3">
      <c r="A785" s="330"/>
      <c r="B785" s="237"/>
      <c r="C785" s="249"/>
      <c r="D785" s="218"/>
      <c r="E785" s="217" t="s">
        <v>574</v>
      </c>
      <c r="F785" s="217" t="s">
        <v>519</v>
      </c>
      <c r="G785" s="218"/>
      <c r="H785" s="208" t="s">
        <v>520</v>
      </c>
      <c r="I785" s="238"/>
      <c r="J785" s="238"/>
      <c r="K785" s="238"/>
      <c r="L785" s="238"/>
      <c r="M785" s="500"/>
      <c r="N785" s="528"/>
      <c r="O785" s="299"/>
      <c r="P785" s="300"/>
      <c r="Q785" s="384"/>
      <c r="R785" s="222">
        <f t="shared" si="25"/>
        <v>0</v>
      </c>
      <c r="S785" s="347"/>
      <c r="T785" s="347"/>
      <c r="U785" s="347"/>
      <c r="V785" s="347"/>
    </row>
    <row r="786" spans="1:22" ht="15.6" outlineLevel="1" x14ac:dyDescent="0.3">
      <c r="A786" s="330"/>
      <c r="B786" s="237"/>
      <c r="C786" s="249"/>
      <c r="D786" s="218"/>
      <c r="E786" s="217" t="s">
        <v>574</v>
      </c>
      <c r="F786" s="217" t="s">
        <v>519</v>
      </c>
      <c r="G786" s="218"/>
      <c r="H786" s="208" t="s">
        <v>520</v>
      </c>
      <c r="I786" s="238"/>
      <c r="J786" s="238"/>
      <c r="K786" s="238"/>
      <c r="L786" s="238"/>
      <c r="M786" s="500"/>
      <c r="N786" s="528"/>
      <c r="O786" s="299"/>
      <c r="P786" s="300"/>
      <c r="Q786" s="384"/>
      <c r="R786" s="222">
        <f t="shared" si="25"/>
        <v>0</v>
      </c>
      <c r="S786" s="347"/>
      <c r="T786" s="347"/>
      <c r="U786" s="347"/>
      <c r="V786" s="347"/>
    </row>
    <row r="787" spans="1:22" ht="15.6" outlineLevel="1" x14ac:dyDescent="0.3">
      <c r="A787" s="330"/>
      <c r="B787" s="237"/>
      <c r="C787" s="249"/>
      <c r="D787" s="218"/>
      <c r="E787" s="217" t="s">
        <v>574</v>
      </c>
      <c r="F787" s="217" t="s">
        <v>519</v>
      </c>
      <c r="G787" s="218"/>
      <c r="H787" s="208" t="s">
        <v>520</v>
      </c>
      <c r="I787" s="238"/>
      <c r="J787" s="238"/>
      <c r="K787" s="238"/>
      <c r="L787" s="238"/>
      <c r="M787" s="500"/>
      <c r="N787" s="528"/>
      <c r="O787" s="299"/>
      <c r="P787" s="300"/>
      <c r="Q787" s="384"/>
      <c r="R787" s="222">
        <f>SUM(S787,T787,U787,V787)</f>
        <v>0</v>
      </c>
      <c r="S787" s="347"/>
      <c r="T787" s="347"/>
      <c r="U787" s="347"/>
      <c r="V787" s="347"/>
    </row>
    <row r="788" spans="1:22" ht="15.6" outlineLevel="1" x14ac:dyDescent="0.3">
      <c r="A788" s="330"/>
      <c r="B788" s="237"/>
      <c r="C788" s="249"/>
      <c r="D788" s="218"/>
      <c r="E788" s="217" t="s">
        <v>574</v>
      </c>
      <c r="F788" s="217" t="s">
        <v>519</v>
      </c>
      <c r="G788" s="218"/>
      <c r="H788" s="208" t="s">
        <v>520</v>
      </c>
      <c r="I788" s="238"/>
      <c r="J788" s="238"/>
      <c r="K788" s="238"/>
      <c r="L788" s="238"/>
      <c r="M788" s="500"/>
      <c r="N788" s="528"/>
      <c r="O788" s="299"/>
      <c r="P788" s="300"/>
      <c r="Q788" s="384"/>
      <c r="R788" s="222">
        <f>SUM(S788,T788,U788,V788)</f>
        <v>0</v>
      </c>
      <c r="S788" s="347"/>
      <c r="T788" s="347"/>
      <c r="U788" s="347"/>
      <c r="V788" s="347"/>
    </row>
    <row r="789" spans="1:22" ht="15.6" outlineLevel="1" x14ac:dyDescent="0.3">
      <c r="A789" s="330"/>
      <c r="B789" s="237"/>
      <c r="C789" s="249"/>
      <c r="D789" s="218"/>
      <c r="E789" s="217" t="s">
        <v>574</v>
      </c>
      <c r="F789" s="217" t="s">
        <v>519</v>
      </c>
      <c r="G789" s="218"/>
      <c r="H789" s="208" t="s">
        <v>520</v>
      </c>
      <c r="I789" s="238"/>
      <c r="J789" s="238"/>
      <c r="K789" s="238"/>
      <c r="L789" s="238"/>
      <c r="M789" s="500"/>
      <c r="N789" s="528"/>
      <c r="O789" s="299"/>
      <c r="P789" s="300"/>
      <c r="Q789" s="384"/>
      <c r="R789" s="222">
        <f>SUM(S789,T789,U789,V789)</f>
        <v>0</v>
      </c>
      <c r="S789" s="347"/>
      <c r="T789" s="347"/>
      <c r="U789" s="347"/>
      <c r="V789" s="347"/>
    </row>
    <row r="790" spans="1:22" ht="15.6" outlineLevel="1" x14ac:dyDescent="0.3">
      <c r="A790" s="330"/>
      <c r="B790" s="237"/>
      <c r="C790" s="249"/>
      <c r="D790" s="218"/>
      <c r="E790" s="217" t="s">
        <v>574</v>
      </c>
      <c r="F790" s="217" t="s">
        <v>519</v>
      </c>
      <c r="G790" s="218"/>
      <c r="H790" s="208" t="s">
        <v>520</v>
      </c>
      <c r="I790" s="238"/>
      <c r="J790" s="238"/>
      <c r="K790" s="238"/>
      <c r="L790" s="238"/>
      <c r="M790" s="500"/>
      <c r="N790" s="528"/>
      <c r="O790" s="299"/>
      <c r="P790" s="300"/>
      <c r="Q790" s="384"/>
      <c r="R790" s="222">
        <f>SUM(S790,T790,U790,V790)</f>
        <v>0</v>
      </c>
      <c r="S790" s="347"/>
      <c r="T790" s="347"/>
      <c r="U790" s="347"/>
      <c r="V790" s="347"/>
    </row>
    <row r="791" spans="1:22" ht="15.6" outlineLevel="1" x14ac:dyDescent="0.3">
      <c r="A791" s="330"/>
      <c r="B791" s="237"/>
      <c r="C791" s="249"/>
      <c r="D791" s="218"/>
      <c r="E791" s="217" t="s">
        <v>574</v>
      </c>
      <c r="F791" s="217" t="s">
        <v>519</v>
      </c>
      <c r="G791" s="218"/>
      <c r="H791" s="208" t="s">
        <v>520</v>
      </c>
      <c r="I791" s="238"/>
      <c r="J791" s="238"/>
      <c r="K791" s="238"/>
      <c r="L791" s="238"/>
      <c r="M791" s="500"/>
      <c r="N791" s="528"/>
      <c r="O791" s="299"/>
      <c r="P791" s="300"/>
      <c r="Q791" s="384"/>
      <c r="R791" s="222">
        <f>SUM(S791,T791,U791,V791)</f>
        <v>0</v>
      </c>
      <c r="S791" s="347"/>
      <c r="T791" s="347"/>
      <c r="U791" s="347"/>
      <c r="V791" s="347"/>
    </row>
    <row r="792" spans="1:22" ht="15.6" outlineLevel="1" x14ac:dyDescent="0.3">
      <c r="A792" s="330"/>
      <c r="B792" s="237"/>
      <c r="C792" s="249"/>
      <c r="D792" s="218"/>
      <c r="E792" s="217" t="s">
        <v>574</v>
      </c>
      <c r="F792" s="217" t="s">
        <v>519</v>
      </c>
      <c r="G792" s="218"/>
      <c r="H792" s="208" t="s">
        <v>520</v>
      </c>
      <c r="I792" s="238"/>
      <c r="J792" s="238"/>
      <c r="K792" s="238"/>
      <c r="L792" s="238"/>
      <c r="M792" s="500"/>
      <c r="N792" s="528"/>
      <c r="O792" s="299"/>
      <c r="P792" s="300"/>
      <c r="Q792" s="384"/>
      <c r="R792" s="222">
        <f t="shared" ref="R792:R819" si="26">SUM(S792,T792,U792,V792)</f>
        <v>0</v>
      </c>
      <c r="S792" s="347"/>
      <c r="T792" s="347"/>
      <c r="U792" s="347"/>
      <c r="V792" s="347"/>
    </row>
    <row r="793" spans="1:22" ht="15.6" outlineLevel="1" x14ac:dyDescent="0.3">
      <c r="A793" s="330"/>
      <c r="B793" s="237"/>
      <c r="C793" s="249"/>
      <c r="D793" s="218"/>
      <c r="E793" s="217" t="s">
        <v>574</v>
      </c>
      <c r="F793" s="217" t="s">
        <v>519</v>
      </c>
      <c r="G793" s="218"/>
      <c r="H793" s="208" t="s">
        <v>520</v>
      </c>
      <c r="I793" s="238"/>
      <c r="J793" s="238"/>
      <c r="K793" s="238"/>
      <c r="L793" s="238"/>
      <c r="M793" s="500"/>
      <c r="N793" s="528"/>
      <c r="O793" s="299"/>
      <c r="P793" s="300"/>
      <c r="Q793" s="384"/>
      <c r="R793" s="222">
        <f t="shared" si="26"/>
        <v>0</v>
      </c>
      <c r="S793" s="347"/>
      <c r="T793" s="347"/>
      <c r="U793" s="347"/>
      <c r="V793" s="347"/>
    </row>
    <row r="794" spans="1:22" ht="15.6" outlineLevel="1" x14ac:dyDescent="0.3">
      <c r="A794" s="330"/>
      <c r="B794" s="237"/>
      <c r="C794" s="249"/>
      <c r="D794" s="218"/>
      <c r="E794" s="217" t="s">
        <v>574</v>
      </c>
      <c r="F794" s="217" t="s">
        <v>519</v>
      </c>
      <c r="G794" s="218"/>
      <c r="H794" s="208" t="s">
        <v>520</v>
      </c>
      <c r="I794" s="238"/>
      <c r="J794" s="238"/>
      <c r="K794" s="238"/>
      <c r="L794" s="238"/>
      <c r="M794" s="500"/>
      <c r="N794" s="528"/>
      <c r="O794" s="299"/>
      <c r="P794" s="300"/>
      <c r="Q794" s="384"/>
      <c r="R794" s="222">
        <f t="shared" si="26"/>
        <v>0</v>
      </c>
      <c r="S794" s="347"/>
      <c r="T794" s="347"/>
      <c r="U794" s="347"/>
      <c r="V794" s="347"/>
    </row>
    <row r="795" spans="1:22" ht="15.6" outlineLevel="1" x14ac:dyDescent="0.3">
      <c r="A795" s="330"/>
      <c r="B795" s="237"/>
      <c r="C795" s="249"/>
      <c r="D795" s="218"/>
      <c r="E795" s="217" t="s">
        <v>574</v>
      </c>
      <c r="F795" s="217" t="s">
        <v>519</v>
      </c>
      <c r="G795" s="218"/>
      <c r="H795" s="208" t="s">
        <v>520</v>
      </c>
      <c r="I795" s="238"/>
      <c r="J795" s="238"/>
      <c r="K795" s="238"/>
      <c r="L795" s="238"/>
      <c r="M795" s="500"/>
      <c r="N795" s="528"/>
      <c r="O795" s="299"/>
      <c r="P795" s="300"/>
      <c r="Q795" s="384"/>
      <c r="R795" s="222">
        <f t="shared" si="26"/>
        <v>0</v>
      </c>
      <c r="S795" s="347"/>
      <c r="T795" s="347"/>
      <c r="U795" s="347"/>
      <c r="V795" s="347"/>
    </row>
    <row r="796" spans="1:22" ht="15.6" outlineLevel="1" x14ac:dyDescent="0.3">
      <c r="A796" s="330"/>
      <c r="B796" s="237"/>
      <c r="C796" s="249"/>
      <c r="D796" s="218"/>
      <c r="E796" s="217" t="s">
        <v>574</v>
      </c>
      <c r="F796" s="217" t="s">
        <v>519</v>
      </c>
      <c r="G796" s="218"/>
      <c r="H796" s="208" t="s">
        <v>520</v>
      </c>
      <c r="I796" s="238"/>
      <c r="J796" s="238"/>
      <c r="K796" s="238"/>
      <c r="L796" s="238"/>
      <c r="M796" s="500"/>
      <c r="N796" s="528"/>
      <c r="O796" s="299"/>
      <c r="P796" s="300"/>
      <c r="Q796" s="384"/>
      <c r="R796" s="222">
        <f t="shared" si="26"/>
        <v>0</v>
      </c>
      <c r="S796" s="347"/>
      <c r="T796" s="347"/>
      <c r="U796" s="347"/>
      <c r="V796" s="347"/>
    </row>
    <row r="797" spans="1:22" ht="15.6" outlineLevel="1" x14ac:dyDescent="0.3">
      <c r="A797" s="330"/>
      <c r="B797" s="237"/>
      <c r="C797" s="249"/>
      <c r="D797" s="218"/>
      <c r="E797" s="217" t="s">
        <v>574</v>
      </c>
      <c r="F797" s="217" t="s">
        <v>519</v>
      </c>
      <c r="G797" s="218"/>
      <c r="H797" s="208" t="s">
        <v>520</v>
      </c>
      <c r="I797" s="238"/>
      <c r="J797" s="238"/>
      <c r="K797" s="238"/>
      <c r="L797" s="238"/>
      <c r="M797" s="500"/>
      <c r="N797" s="528"/>
      <c r="O797" s="299"/>
      <c r="P797" s="300"/>
      <c r="Q797" s="384"/>
      <c r="R797" s="222">
        <f t="shared" si="26"/>
        <v>0</v>
      </c>
      <c r="S797" s="347"/>
      <c r="T797" s="347"/>
      <c r="U797" s="347"/>
      <c r="V797" s="347"/>
    </row>
    <row r="798" spans="1:22" ht="15.6" outlineLevel="1" x14ac:dyDescent="0.3">
      <c r="A798" s="330"/>
      <c r="B798" s="237"/>
      <c r="C798" s="249"/>
      <c r="D798" s="218"/>
      <c r="E798" s="217" t="s">
        <v>574</v>
      </c>
      <c r="F798" s="217" t="s">
        <v>519</v>
      </c>
      <c r="G798" s="218"/>
      <c r="H798" s="208" t="s">
        <v>520</v>
      </c>
      <c r="I798" s="238"/>
      <c r="J798" s="238"/>
      <c r="K798" s="238"/>
      <c r="L798" s="238"/>
      <c r="M798" s="500"/>
      <c r="N798" s="528"/>
      <c r="O798" s="299"/>
      <c r="P798" s="300"/>
      <c r="Q798" s="384"/>
      <c r="R798" s="222">
        <f t="shared" si="26"/>
        <v>0</v>
      </c>
      <c r="S798" s="347"/>
      <c r="T798" s="347"/>
      <c r="U798" s="347"/>
      <c r="V798" s="347"/>
    </row>
    <row r="799" spans="1:22" ht="15.6" outlineLevel="1" x14ac:dyDescent="0.3">
      <c r="A799" s="330"/>
      <c r="B799" s="237"/>
      <c r="C799" s="249"/>
      <c r="D799" s="218"/>
      <c r="E799" s="217" t="s">
        <v>574</v>
      </c>
      <c r="F799" s="217" t="s">
        <v>519</v>
      </c>
      <c r="G799" s="218"/>
      <c r="H799" s="208" t="s">
        <v>520</v>
      </c>
      <c r="I799" s="238"/>
      <c r="J799" s="238"/>
      <c r="K799" s="238"/>
      <c r="L799" s="238"/>
      <c r="M799" s="500"/>
      <c r="N799" s="528"/>
      <c r="O799" s="299"/>
      <c r="P799" s="300"/>
      <c r="Q799" s="384"/>
      <c r="R799" s="222">
        <f t="shared" si="26"/>
        <v>0</v>
      </c>
      <c r="S799" s="347"/>
      <c r="T799" s="347"/>
      <c r="U799" s="347"/>
      <c r="V799" s="347"/>
    </row>
    <row r="800" spans="1:22" ht="15.6" outlineLevel="1" x14ac:dyDescent="0.3">
      <c r="A800" s="330"/>
      <c r="B800" s="237"/>
      <c r="C800" s="249"/>
      <c r="D800" s="218"/>
      <c r="E800" s="217" t="s">
        <v>574</v>
      </c>
      <c r="F800" s="217" t="s">
        <v>519</v>
      </c>
      <c r="G800" s="218"/>
      <c r="H800" s="208" t="s">
        <v>520</v>
      </c>
      <c r="I800" s="238"/>
      <c r="J800" s="238"/>
      <c r="K800" s="238"/>
      <c r="L800" s="238"/>
      <c r="M800" s="500"/>
      <c r="N800" s="528"/>
      <c r="O800" s="299"/>
      <c r="P800" s="300"/>
      <c r="Q800" s="384"/>
      <c r="R800" s="222">
        <f t="shared" si="26"/>
        <v>0</v>
      </c>
      <c r="S800" s="347"/>
      <c r="T800" s="347"/>
      <c r="U800" s="347"/>
      <c r="V800" s="347"/>
    </row>
    <row r="801" spans="1:22" ht="15.6" outlineLevel="1" x14ac:dyDescent="0.3">
      <c r="A801" s="330"/>
      <c r="B801" s="237"/>
      <c r="C801" s="249"/>
      <c r="D801" s="218"/>
      <c r="E801" s="217" t="s">
        <v>574</v>
      </c>
      <c r="F801" s="217" t="s">
        <v>519</v>
      </c>
      <c r="G801" s="218"/>
      <c r="H801" s="208" t="s">
        <v>520</v>
      </c>
      <c r="I801" s="238"/>
      <c r="J801" s="238"/>
      <c r="K801" s="238"/>
      <c r="L801" s="238"/>
      <c r="M801" s="500"/>
      <c r="N801" s="528"/>
      <c r="O801" s="299"/>
      <c r="P801" s="300"/>
      <c r="Q801" s="384"/>
      <c r="R801" s="222">
        <f t="shared" si="26"/>
        <v>0</v>
      </c>
      <c r="S801" s="347"/>
      <c r="T801" s="347"/>
      <c r="U801" s="347"/>
      <c r="V801" s="347"/>
    </row>
    <row r="802" spans="1:22" ht="15.6" outlineLevel="1" x14ac:dyDescent="0.3">
      <c r="A802" s="330"/>
      <c r="B802" s="237"/>
      <c r="C802" s="249"/>
      <c r="D802" s="218"/>
      <c r="E802" s="217" t="s">
        <v>574</v>
      </c>
      <c r="F802" s="217" t="s">
        <v>519</v>
      </c>
      <c r="G802" s="218"/>
      <c r="H802" s="208" t="s">
        <v>520</v>
      </c>
      <c r="I802" s="238"/>
      <c r="J802" s="238"/>
      <c r="K802" s="238"/>
      <c r="L802" s="238"/>
      <c r="M802" s="500"/>
      <c r="N802" s="528"/>
      <c r="O802" s="299"/>
      <c r="P802" s="300"/>
      <c r="Q802" s="384"/>
      <c r="R802" s="222">
        <f t="shared" si="26"/>
        <v>0</v>
      </c>
      <c r="S802" s="347"/>
      <c r="T802" s="347"/>
      <c r="U802" s="347"/>
      <c r="V802" s="347"/>
    </row>
    <row r="803" spans="1:22" ht="15.6" outlineLevel="1" x14ac:dyDescent="0.3">
      <c r="A803" s="330"/>
      <c r="B803" s="237"/>
      <c r="C803" s="249"/>
      <c r="D803" s="218"/>
      <c r="E803" s="217" t="s">
        <v>574</v>
      </c>
      <c r="F803" s="217" t="s">
        <v>519</v>
      </c>
      <c r="G803" s="218"/>
      <c r="H803" s="208" t="s">
        <v>520</v>
      </c>
      <c r="I803" s="238"/>
      <c r="J803" s="238"/>
      <c r="K803" s="238"/>
      <c r="L803" s="238"/>
      <c r="M803" s="500"/>
      <c r="N803" s="528"/>
      <c r="O803" s="299"/>
      <c r="P803" s="300"/>
      <c r="Q803" s="384"/>
      <c r="R803" s="222">
        <f t="shared" si="26"/>
        <v>0</v>
      </c>
      <c r="S803" s="347"/>
      <c r="T803" s="347"/>
      <c r="U803" s="347"/>
      <c r="V803" s="347"/>
    </row>
    <row r="804" spans="1:22" ht="15.6" outlineLevel="1" x14ac:dyDescent="0.3">
      <c r="A804" s="330"/>
      <c r="B804" s="237"/>
      <c r="C804" s="249"/>
      <c r="D804" s="218"/>
      <c r="E804" s="217" t="s">
        <v>574</v>
      </c>
      <c r="F804" s="217" t="s">
        <v>519</v>
      </c>
      <c r="G804" s="218"/>
      <c r="H804" s="208" t="s">
        <v>520</v>
      </c>
      <c r="I804" s="238"/>
      <c r="J804" s="238"/>
      <c r="K804" s="238"/>
      <c r="L804" s="238"/>
      <c r="M804" s="500"/>
      <c r="N804" s="528"/>
      <c r="O804" s="299"/>
      <c r="P804" s="300"/>
      <c r="Q804" s="384"/>
      <c r="R804" s="222">
        <f t="shared" si="26"/>
        <v>0</v>
      </c>
      <c r="S804" s="347"/>
      <c r="T804" s="347"/>
      <c r="U804" s="347"/>
      <c r="V804" s="347"/>
    </row>
    <row r="805" spans="1:22" ht="15.6" outlineLevel="1" x14ac:dyDescent="0.3">
      <c r="A805" s="330"/>
      <c r="B805" s="237"/>
      <c r="C805" s="249"/>
      <c r="D805" s="218"/>
      <c r="E805" s="217" t="s">
        <v>574</v>
      </c>
      <c r="F805" s="217" t="s">
        <v>519</v>
      </c>
      <c r="G805" s="218"/>
      <c r="H805" s="208" t="s">
        <v>520</v>
      </c>
      <c r="I805" s="238"/>
      <c r="J805" s="238"/>
      <c r="K805" s="238"/>
      <c r="L805" s="238"/>
      <c r="M805" s="500"/>
      <c r="N805" s="528"/>
      <c r="O805" s="299"/>
      <c r="P805" s="300"/>
      <c r="Q805" s="384"/>
      <c r="R805" s="222">
        <f t="shared" si="26"/>
        <v>0</v>
      </c>
      <c r="S805" s="347"/>
      <c r="T805" s="347"/>
      <c r="U805" s="347"/>
      <c r="V805" s="347"/>
    </row>
    <row r="806" spans="1:22" ht="15.6" outlineLevel="1" x14ac:dyDescent="0.3">
      <c r="A806" s="330"/>
      <c r="B806" s="237"/>
      <c r="C806" s="249"/>
      <c r="D806" s="218"/>
      <c r="E806" s="217" t="s">
        <v>574</v>
      </c>
      <c r="F806" s="217" t="s">
        <v>519</v>
      </c>
      <c r="G806" s="218"/>
      <c r="H806" s="208" t="s">
        <v>520</v>
      </c>
      <c r="I806" s="238"/>
      <c r="J806" s="238"/>
      <c r="K806" s="238"/>
      <c r="L806" s="238"/>
      <c r="M806" s="500"/>
      <c r="N806" s="528"/>
      <c r="O806" s="299"/>
      <c r="P806" s="300"/>
      <c r="Q806" s="384"/>
      <c r="R806" s="222">
        <f t="shared" si="26"/>
        <v>0</v>
      </c>
      <c r="S806" s="347"/>
      <c r="T806" s="347"/>
      <c r="U806" s="347"/>
      <c r="V806" s="347"/>
    </row>
    <row r="807" spans="1:22" ht="15.6" outlineLevel="1" x14ac:dyDescent="0.3">
      <c r="A807" s="330"/>
      <c r="B807" s="237"/>
      <c r="C807" s="249"/>
      <c r="D807" s="218"/>
      <c r="E807" s="217" t="s">
        <v>574</v>
      </c>
      <c r="F807" s="217" t="s">
        <v>519</v>
      </c>
      <c r="G807" s="218"/>
      <c r="H807" s="208" t="s">
        <v>520</v>
      </c>
      <c r="I807" s="238"/>
      <c r="J807" s="238"/>
      <c r="K807" s="238"/>
      <c r="L807" s="238"/>
      <c r="M807" s="500"/>
      <c r="N807" s="528"/>
      <c r="O807" s="299"/>
      <c r="P807" s="300"/>
      <c r="Q807" s="384"/>
      <c r="R807" s="222">
        <f t="shared" si="26"/>
        <v>0</v>
      </c>
      <c r="S807" s="347"/>
      <c r="T807" s="347"/>
      <c r="U807" s="347"/>
      <c r="V807" s="347"/>
    </row>
    <row r="808" spans="1:22" ht="15.6" outlineLevel="1" x14ac:dyDescent="0.3">
      <c r="A808" s="330"/>
      <c r="B808" s="237"/>
      <c r="C808" s="249"/>
      <c r="D808" s="218"/>
      <c r="E808" s="217" t="s">
        <v>574</v>
      </c>
      <c r="F808" s="217" t="s">
        <v>519</v>
      </c>
      <c r="G808" s="218"/>
      <c r="H808" s="208" t="s">
        <v>520</v>
      </c>
      <c r="I808" s="238"/>
      <c r="J808" s="238"/>
      <c r="K808" s="238"/>
      <c r="L808" s="238"/>
      <c r="M808" s="500"/>
      <c r="N808" s="528"/>
      <c r="O808" s="299"/>
      <c r="P808" s="300"/>
      <c r="Q808" s="384"/>
      <c r="R808" s="222">
        <f t="shared" si="26"/>
        <v>0</v>
      </c>
      <c r="S808" s="347"/>
      <c r="T808" s="347"/>
      <c r="U808" s="347"/>
      <c r="V808" s="347"/>
    </row>
    <row r="809" spans="1:22" ht="15.6" outlineLevel="1" x14ac:dyDescent="0.3">
      <c r="A809" s="330"/>
      <c r="B809" s="237"/>
      <c r="C809" s="249"/>
      <c r="D809" s="218"/>
      <c r="E809" s="217" t="s">
        <v>574</v>
      </c>
      <c r="F809" s="217" t="s">
        <v>519</v>
      </c>
      <c r="G809" s="218"/>
      <c r="H809" s="208" t="s">
        <v>520</v>
      </c>
      <c r="I809" s="238"/>
      <c r="J809" s="238"/>
      <c r="K809" s="238"/>
      <c r="L809" s="238"/>
      <c r="M809" s="500"/>
      <c r="N809" s="528"/>
      <c r="O809" s="299"/>
      <c r="P809" s="300"/>
      <c r="Q809" s="384"/>
      <c r="R809" s="222">
        <f t="shared" si="26"/>
        <v>0</v>
      </c>
      <c r="S809" s="347"/>
      <c r="T809" s="347"/>
      <c r="U809" s="347"/>
      <c r="V809" s="347"/>
    </row>
    <row r="810" spans="1:22" ht="15.6" outlineLevel="1" x14ac:dyDescent="0.3">
      <c r="A810" s="330"/>
      <c r="B810" s="237"/>
      <c r="C810" s="249"/>
      <c r="D810" s="218"/>
      <c r="E810" s="217" t="s">
        <v>574</v>
      </c>
      <c r="F810" s="217" t="s">
        <v>519</v>
      </c>
      <c r="G810" s="218"/>
      <c r="H810" s="208" t="s">
        <v>520</v>
      </c>
      <c r="I810" s="238"/>
      <c r="J810" s="238"/>
      <c r="K810" s="238"/>
      <c r="L810" s="238"/>
      <c r="M810" s="500"/>
      <c r="N810" s="528"/>
      <c r="O810" s="299"/>
      <c r="P810" s="300"/>
      <c r="Q810" s="384"/>
      <c r="R810" s="222">
        <f t="shared" si="26"/>
        <v>0</v>
      </c>
      <c r="S810" s="347"/>
      <c r="T810" s="347"/>
      <c r="U810" s="347"/>
      <c r="V810" s="347"/>
    </row>
    <row r="811" spans="1:22" ht="15.6" outlineLevel="1" x14ac:dyDescent="0.3">
      <c r="A811" s="330"/>
      <c r="B811" s="237"/>
      <c r="C811" s="249"/>
      <c r="D811" s="218"/>
      <c r="E811" s="217" t="s">
        <v>574</v>
      </c>
      <c r="F811" s="217" t="s">
        <v>519</v>
      </c>
      <c r="G811" s="218"/>
      <c r="H811" s="208" t="s">
        <v>520</v>
      </c>
      <c r="I811" s="238"/>
      <c r="J811" s="238"/>
      <c r="K811" s="238"/>
      <c r="L811" s="238"/>
      <c r="M811" s="500"/>
      <c r="N811" s="528"/>
      <c r="O811" s="299"/>
      <c r="P811" s="300"/>
      <c r="Q811" s="384"/>
      <c r="R811" s="222">
        <f t="shared" si="26"/>
        <v>0</v>
      </c>
      <c r="S811" s="347"/>
      <c r="T811" s="347"/>
      <c r="U811" s="347"/>
      <c r="V811" s="347"/>
    </row>
    <row r="812" spans="1:22" ht="15.6" outlineLevel="1" x14ac:dyDescent="0.3">
      <c r="A812" s="330"/>
      <c r="B812" s="237"/>
      <c r="C812" s="249"/>
      <c r="D812" s="218"/>
      <c r="E812" s="217" t="s">
        <v>574</v>
      </c>
      <c r="F812" s="217" t="s">
        <v>519</v>
      </c>
      <c r="G812" s="218"/>
      <c r="H812" s="208" t="s">
        <v>520</v>
      </c>
      <c r="I812" s="238"/>
      <c r="J812" s="238"/>
      <c r="K812" s="238"/>
      <c r="L812" s="238"/>
      <c r="M812" s="500"/>
      <c r="N812" s="528"/>
      <c r="O812" s="299"/>
      <c r="P812" s="300"/>
      <c r="Q812" s="384"/>
      <c r="R812" s="222">
        <f t="shared" si="26"/>
        <v>0</v>
      </c>
      <c r="S812" s="347"/>
      <c r="T812" s="347"/>
      <c r="U812" s="347"/>
      <c r="V812" s="347"/>
    </row>
    <row r="813" spans="1:22" ht="15.6" outlineLevel="1" x14ac:dyDescent="0.3">
      <c r="A813" s="330"/>
      <c r="B813" s="237"/>
      <c r="C813" s="249"/>
      <c r="D813" s="218"/>
      <c r="E813" s="217" t="s">
        <v>574</v>
      </c>
      <c r="F813" s="217" t="s">
        <v>519</v>
      </c>
      <c r="G813" s="218"/>
      <c r="H813" s="208" t="s">
        <v>520</v>
      </c>
      <c r="I813" s="238"/>
      <c r="J813" s="238"/>
      <c r="K813" s="238"/>
      <c r="L813" s="238"/>
      <c r="M813" s="500"/>
      <c r="N813" s="528"/>
      <c r="O813" s="299"/>
      <c r="P813" s="300"/>
      <c r="Q813" s="384"/>
      <c r="R813" s="222">
        <f t="shared" si="26"/>
        <v>0</v>
      </c>
      <c r="S813" s="347"/>
      <c r="T813" s="347"/>
      <c r="U813" s="347"/>
      <c r="V813" s="347"/>
    </row>
    <row r="814" spans="1:22" ht="15.6" outlineLevel="1" x14ac:dyDescent="0.3">
      <c r="A814" s="330"/>
      <c r="B814" s="237"/>
      <c r="C814" s="249"/>
      <c r="D814" s="218"/>
      <c r="E814" s="217" t="s">
        <v>574</v>
      </c>
      <c r="F814" s="217" t="s">
        <v>519</v>
      </c>
      <c r="G814" s="218"/>
      <c r="H814" s="208" t="s">
        <v>520</v>
      </c>
      <c r="I814" s="238"/>
      <c r="J814" s="238"/>
      <c r="K814" s="238"/>
      <c r="L814" s="238"/>
      <c r="M814" s="500"/>
      <c r="N814" s="528"/>
      <c r="O814" s="299"/>
      <c r="P814" s="300"/>
      <c r="Q814" s="384"/>
      <c r="R814" s="222">
        <f t="shared" si="26"/>
        <v>0</v>
      </c>
      <c r="S814" s="347"/>
      <c r="T814" s="347"/>
      <c r="U814" s="347"/>
      <c r="V814" s="347"/>
    </row>
    <row r="815" spans="1:22" ht="15.6" outlineLevel="1" x14ac:dyDescent="0.3">
      <c r="A815" s="330"/>
      <c r="B815" s="237"/>
      <c r="C815" s="249"/>
      <c r="D815" s="218"/>
      <c r="E815" s="217" t="s">
        <v>574</v>
      </c>
      <c r="F815" s="217" t="s">
        <v>519</v>
      </c>
      <c r="G815" s="218"/>
      <c r="H815" s="208" t="s">
        <v>520</v>
      </c>
      <c r="I815" s="238"/>
      <c r="J815" s="238"/>
      <c r="K815" s="238"/>
      <c r="L815" s="238"/>
      <c r="M815" s="500"/>
      <c r="N815" s="528"/>
      <c r="O815" s="299"/>
      <c r="P815" s="300"/>
      <c r="Q815" s="384"/>
      <c r="R815" s="222">
        <f t="shared" si="26"/>
        <v>0</v>
      </c>
      <c r="S815" s="347"/>
      <c r="T815" s="347"/>
      <c r="U815" s="347"/>
      <c r="V815" s="347"/>
    </row>
    <row r="816" spans="1:22" ht="15.6" outlineLevel="1" x14ac:dyDescent="0.3">
      <c r="A816" s="330"/>
      <c r="B816" s="237"/>
      <c r="C816" s="249"/>
      <c r="D816" s="218"/>
      <c r="E816" s="217" t="s">
        <v>574</v>
      </c>
      <c r="F816" s="217" t="s">
        <v>519</v>
      </c>
      <c r="G816" s="218"/>
      <c r="H816" s="208" t="s">
        <v>520</v>
      </c>
      <c r="I816" s="238"/>
      <c r="J816" s="238"/>
      <c r="K816" s="238"/>
      <c r="L816" s="238"/>
      <c r="M816" s="500"/>
      <c r="N816" s="528"/>
      <c r="O816" s="299"/>
      <c r="P816" s="300"/>
      <c r="Q816" s="384"/>
      <c r="R816" s="222">
        <f t="shared" si="26"/>
        <v>0</v>
      </c>
      <c r="S816" s="347"/>
      <c r="T816" s="347"/>
      <c r="U816" s="347"/>
      <c r="V816" s="347"/>
    </row>
    <row r="817" spans="1:22" ht="15.6" outlineLevel="1" x14ac:dyDescent="0.3">
      <c r="A817" s="330"/>
      <c r="B817" s="237"/>
      <c r="C817" s="249"/>
      <c r="D817" s="218"/>
      <c r="E817" s="217" t="s">
        <v>574</v>
      </c>
      <c r="F817" s="217" t="s">
        <v>519</v>
      </c>
      <c r="G817" s="218"/>
      <c r="H817" s="208" t="s">
        <v>520</v>
      </c>
      <c r="I817" s="238"/>
      <c r="J817" s="238"/>
      <c r="K817" s="238"/>
      <c r="L817" s="238"/>
      <c r="M817" s="500"/>
      <c r="N817" s="528"/>
      <c r="O817" s="299"/>
      <c r="P817" s="300"/>
      <c r="Q817" s="384"/>
      <c r="R817" s="222">
        <f t="shared" si="26"/>
        <v>0</v>
      </c>
      <c r="S817" s="347"/>
      <c r="T817" s="347"/>
      <c r="U817" s="347"/>
      <c r="V817" s="347"/>
    </row>
    <row r="818" spans="1:22" ht="15.6" outlineLevel="1" x14ac:dyDescent="0.3">
      <c r="A818" s="330"/>
      <c r="B818" s="237"/>
      <c r="C818" s="249"/>
      <c r="D818" s="218"/>
      <c r="E818" s="217" t="s">
        <v>574</v>
      </c>
      <c r="F818" s="217" t="s">
        <v>519</v>
      </c>
      <c r="G818" s="218"/>
      <c r="H818" s="208" t="s">
        <v>520</v>
      </c>
      <c r="I818" s="238"/>
      <c r="J818" s="238"/>
      <c r="K818" s="238"/>
      <c r="L818" s="238"/>
      <c r="M818" s="500"/>
      <c r="N818" s="528"/>
      <c r="O818" s="299"/>
      <c r="P818" s="300"/>
      <c r="Q818" s="384"/>
      <c r="R818" s="222">
        <f t="shared" si="26"/>
        <v>0</v>
      </c>
      <c r="S818" s="347"/>
      <c r="T818" s="347"/>
      <c r="U818" s="347"/>
      <c r="V818" s="347"/>
    </row>
    <row r="819" spans="1:22" ht="15.6" outlineLevel="1" x14ac:dyDescent="0.3">
      <c r="A819" s="330"/>
      <c r="B819" s="237"/>
      <c r="C819" s="249"/>
      <c r="D819" s="218"/>
      <c r="E819" s="217" t="s">
        <v>574</v>
      </c>
      <c r="F819" s="217" t="s">
        <v>519</v>
      </c>
      <c r="G819" s="218"/>
      <c r="H819" s="208" t="s">
        <v>520</v>
      </c>
      <c r="I819" s="238"/>
      <c r="J819" s="238"/>
      <c r="K819" s="238"/>
      <c r="L819" s="238"/>
      <c r="M819" s="500"/>
      <c r="N819" s="528"/>
      <c r="O819" s="299"/>
      <c r="P819" s="300"/>
      <c r="Q819" s="384"/>
      <c r="R819" s="222">
        <f t="shared" si="26"/>
        <v>0</v>
      </c>
      <c r="S819" s="347"/>
      <c r="T819" s="347"/>
      <c r="U819" s="347"/>
      <c r="V819" s="347"/>
    </row>
    <row r="820" spans="1:22" ht="15.6" outlineLevel="1" x14ac:dyDescent="0.3">
      <c r="A820" s="330"/>
      <c r="B820" s="237"/>
      <c r="C820" s="249"/>
      <c r="D820" s="218"/>
      <c r="E820" s="217" t="s">
        <v>574</v>
      </c>
      <c r="F820" s="217" t="s">
        <v>519</v>
      </c>
      <c r="G820" s="218"/>
      <c r="H820" s="208" t="s">
        <v>520</v>
      </c>
      <c r="I820" s="238"/>
      <c r="J820" s="238"/>
      <c r="K820" s="238"/>
      <c r="L820" s="238"/>
      <c r="M820" s="500"/>
      <c r="N820" s="528"/>
      <c r="O820" s="299"/>
      <c r="P820" s="300"/>
      <c r="Q820" s="384"/>
      <c r="R820" s="222">
        <f t="shared" ref="R820:R826" si="27">SUM(S820,T820,U820,V820)</f>
        <v>0</v>
      </c>
      <c r="S820" s="347"/>
      <c r="T820" s="347"/>
      <c r="U820" s="347"/>
      <c r="V820" s="347"/>
    </row>
    <row r="821" spans="1:22" ht="15.6" outlineLevel="1" x14ac:dyDescent="0.3">
      <c r="A821" s="330"/>
      <c r="B821" s="237"/>
      <c r="C821" s="249"/>
      <c r="D821" s="218"/>
      <c r="E821" s="217" t="s">
        <v>574</v>
      </c>
      <c r="F821" s="217" t="s">
        <v>519</v>
      </c>
      <c r="G821" s="218"/>
      <c r="H821" s="208" t="s">
        <v>520</v>
      </c>
      <c r="I821" s="238"/>
      <c r="J821" s="238"/>
      <c r="K821" s="238"/>
      <c r="L821" s="238"/>
      <c r="M821" s="500"/>
      <c r="N821" s="528"/>
      <c r="O821" s="299"/>
      <c r="P821" s="300"/>
      <c r="Q821" s="384"/>
      <c r="R821" s="222">
        <f t="shared" si="27"/>
        <v>0</v>
      </c>
      <c r="S821" s="347"/>
      <c r="T821" s="347"/>
      <c r="U821" s="347"/>
      <c r="V821" s="347"/>
    </row>
    <row r="822" spans="1:22" ht="15.6" outlineLevel="1" x14ac:dyDescent="0.3">
      <c r="A822" s="330"/>
      <c r="B822" s="237"/>
      <c r="C822" s="249"/>
      <c r="D822" s="218"/>
      <c r="E822" s="217" t="s">
        <v>574</v>
      </c>
      <c r="F822" s="217" t="s">
        <v>519</v>
      </c>
      <c r="G822" s="218"/>
      <c r="H822" s="208" t="s">
        <v>520</v>
      </c>
      <c r="I822" s="238"/>
      <c r="J822" s="238"/>
      <c r="K822" s="238"/>
      <c r="L822" s="238"/>
      <c r="M822" s="500"/>
      <c r="N822" s="528"/>
      <c r="O822" s="299"/>
      <c r="P822" s="300"/>
      <c r="Q822" s="384"/>
      <c r="R822" s="222">
        <f t="shared" si="27"/>
        <v>0</v>
      </c>
      <c r="S822" s="347"/>
      <c r="T822" s="347"/>
      <c r="U822" s="347"/>
      <c r="V822" s="347"/>
    </row>
    <row r="823" spans="1:22" ht="15.6" outlineLevel="1" x14ac:dyDescent="0.3">
      <c r="A823" s="330"/>
      <c r="B823" s="237"/>
      <c r="C823" s="249"/>
      <c r="D823" s="218"/>
      <c r="E823" s="217" t="s">
        <v>574</v>
      </c>
      <c r="F823" s="217" t="s">
        <v>519</v>
      </c>
      <c r="G823" s="218"/>
      <c r="H823" s="208" t="s">
        <v>520</v>
      </c>
      <c r="I823" s="238"/>
      <c r="J823" s="238"/>
      <c r="K823" s="238"/>
      <c r="L823" s="238"/>
      <c r="M823" s="500"/>
      <c r="N823" s="528"/>
      <c r="O823" s="299"/>
      <c r="P823" s="300"/>
      <c r="Q823" s="384"/>
      <c r="R823" s="222">
        <f t="shared" si="27"/>
        <v>0</v>
      </c>
      <c r="S823" s="347"/>
      <c r="T823" s="347"/>
      <c r="U823" s="347"/>
      <c r="V823" s="347"/>
    </row>
    <row r="824" spans="1:22" ht="15.6" outlineLevel="1" x14ac:dyDescent="0.3">
      <c r="A824" s="330"/>
      <c r="B824" s="237"/>
      <c r="C824" s="249"/>
      <c r="D824" s="218"/>
      <c r="E824" s="217" t="s">
        <v>574</v>
      </c>
      <c r="F824" s="217" t="s">
        <v>519</v>
      </c>
      <c r="G824" s="218"/>
      <c r="H824" s="208" t="s">
        <v>520</v>
      </c>
      <c r="I824" s="238"/>
      <c r="J824" s="238"/>
      <c r="K824" s="238"/>
      <c r="L824" s="238"/>
      <c r="M824" s="500"/>
      <c r="N824" s="528"/>
      <c r="O824" s="299"/>
      <c r="P824" s="300"/>
      <c r="Q824" s="384"/>
      <c r="R824" s="222">
        <f t="shared" si="27"/>
        <v>0</v>
      </c>
      <c r="S824" s="347"/>
      <c r="T824" s="347"/>
      <c r="U824" s="347"/>
      <c r="V824" s="347"/>
    </row>
    <row r="825" spans="1:22" ht="15.6" outlineLevel="1" x14ac:dyDescent="0.3">
      <c r="A825" s="330"/>
      <c r="B825" s="237"/>
      <c r="C825" s="249"/>
      <c r="D825" s="218"/>
      <c r="E825" s="217" t="s">
        <v>574</v>
      </c>
      <c r="F825" s="217" t="s">
        <v>519</v>
      </c>
      <c r="G825" s="218"/>
      <c r="H825" s="208" t="s">
        <v>520</v>
      </c>
      <c r="I825" s="238"/>
      <c r="J825" s="238"/>
      <c r="K825" s="238"/>
      <c r="L825" s="238"/>
      <c r="M825" s="500"/>
      <c r="N825" s="528"/>
      <c r="O825" s="299"/>
      <c r="P825" s="300"/>
      <c r="Q825" s="384"/>
      <c r="R825" s="222">
        <f t="shared" si="27"/>
        <v>0</v>
      </c>
      <c r="S825" s="347"/>
      <c r="T825" s="347"/>
      <c r="U825" s="347"/>
      <c r="V825" s="347"/>
    </row>
    <row r="826" spans="1:22" ht="15.6" outlineLevel="1" x14ac:dyDescent="0.3">
      <c r="A826" s="330"/>
      <c r="B826" s="237"/>
      <c r="C826" s="249"/>
      <c r="D826" s="218"/>
      <c r="E826" s="217" t="s">
        <v>574</v>
      </c>
      <c r="F826" s="217" t="s">
        <v>519</v>
      </c>
      <c r="G826" s="218"/>
      <c r="H826" s="208" t="s">
        <v>520</v>
      </c>
      <c r="I826" s="238"/>
      <c r="J826" s="238"/>
      <c r="K826" s="238"/>
      <c r="L826" s="238"/>
      <c r="M826" s="500"/>
      <c r="N826" s="528"/>
      <c r="O826" s="299"/>
      <c r="P826" s="300"/>
      <c r="Q826" s="384"/>
      <c r="R826" s="222">
        <f t="shared" si="27"/>
        <v>0</v>
      </c>
      <c r="S826" s="347"/>
      <c r="T826" s="347"/>
      <c r="U826" s="347"/>
      <c r="V826" s="347"/>
    </row>
    <row r="827" spans="1:22" ht="15.6" outlineLevel="1" x14ac:dyDescent="0.3">
      <c r="A827" s="330"/>
      <c r="B827" s="237"/>
      <c r="C827" s="249"/>
      <c r="D827" s="218"/>
      <c r="E827" s="217" t="s">
        <v>574</v>
      </c>
      <c r="F827" s="217" t="s">
        <v>519</v>
      </c>
      <c r="G827" s="218"/>
      <c r="H827" s="208" t="s">
        <v>520</v>
      </c>
      <c r="I827" s="238"/>
      <c r="J827" s="238"/>
      <c r="K827" s="238"/>
      <c r="L827" s="238"/>
      <c r="M827" s="500"/>
      <c r="N827" s="528"/>
      <c r="O827" s="299"/>
      <c r="P827" s="300"/>
      <c r="Q827" s="384"/>
      <c r="R827" s="222">
        <f t="shared" ref="R827:R833" si="28">SUM(S827,T827,U827,V827)</f>
        <v>0</v>
      </c>
      <c r="S827" s="347"/>
      <c r="T827" s="347"/>
      <c r="U827" s="347"/>
      <c r="V827" s="347"/>
    </row>
    <row r="828" spans="1:22" ht="15.6" outlineLevel="1" x14ac:dyDescent="0.3">
      <c r="A828" s="330"/>
      <c r="B828" s="237"/>
      <c r="C828" s="249"/>
      <c r="D828" s="218"/>
      <c r="E828" s="217" t="s">
        <v>574</v>
      </c>
      <c r="F828" s="217" t="s">
        <v>519</v>
      </c>
      <c r="G828" s="218"/>
      <c r="H828" s="208" t="s">
        <v>520</v>
      </c>
      <c r="I828" s="238"/>
      <c r="J828" s="238"/>
      <c r="K828" s="238"/>
      <c r="L828" s="238"/>
      <c r="M828" s="500"/>
      <c r="N828" s="528"/>
      <c r="O828" s="299"/>
      <c r="P828" s="300"/>
      <c r="Q828" s="384"/>
      <c r="R828" s="222">
        <f t="shared" si="28"/>
        <v>0</v>
      </c>
      <c r="S828" s="347"/>
      <c r="T828" s="347"/>
      <c r="U828" s="347"/>
      <c r="V828" s="347"/>
    </row>
    <row r="829" spans="1:22" ht="15.6" outlineLevel="1" x14ac:dyDescent="0.3">
      <c r="A829" s="330"/>
      <c r="B829" s="237"/>
      <c r="C829" s="249"/>
      <c r="D829" s="218"/>
      <c r="E829" s="217" t="s">
        <v>574</v>
      </c>
      <c r="F829" s="217" t="s">
        <v>519</v>
      </c>
      <c r="G829" s="218"/>
      <c r="H829" s="208" t="s">
        <v>520</v>
      </c>
      <c r="I829" s="238"/>
      <c r="J829" s="238"/>
      <c r="K829" s="238"/>
      <c r="L829" s="238"/>
      <c r="M829" s="500"/>
      <c r="N829" s="528"/>
      <c r="O829" s="299"/>
      <c r="P829" s="300"/>
      <c r="Q829" s="384"/>
      <c r="R829" s="222">
        <f t="shared" si="28"/>
        <v>0</v>
      </c>
      <c r="S829" s="347"/>
      <c r="T829" s="347"/>
      <c r="U829" s="347"/>
      <c r="V829" s="347"/>
    </row>
    <row r="830" spans="1:22" ht="15.6" outlineLevel="1" x14ac:dyDescent="0.3">
      <c r="A830" s="330"/>
      <c r="B830" s="237"/>
      <c r="C830" s="249"/>
      <c r="D830" s="218"/>
      <c r="E830" s="217" t="s">
        <v>574</v>
      </c>
      <c r="F830" s="217" t="s">
        <v>519</v>
      </c>
      <c r="G830" s="218"/>
      <c r="H830" s="208" t="s">
        <v>520</v>
      </c>
      <c r="I830" s="238"/>
      <c r="J830" s="238"/>
      <c r="K830" s="238"/>
      <c r="L830" s="238"/>
      <c r="M830" s="500"/>
      <c r="N830" s="528"/>
      <c r="O830" s="299"/>
      <c r="P830" s="300"/>
      <c r="Q830" s="384"/>
      <c r="R830" s="222">
        <f t="shared" si="28"/>
        <v>0</v>
      </c>
      <c r="S830" s="347"/>
      <c r="T830" s="347"/>
      <c r="U830" s="347"/>
      <c r="V830" s="347"/>
    </row>
    <row r="831" spans="1:22" ht="15.6" outlineLevel="1" x14ac:dyDescent="0.3">
      <c r="A831" s="330"/>
      <c r="B831" s="237"/>
      <c r="C831" s="249"/>
      <c r="D831" s="218"/>
      <c r="E831" s="217" t="s">
        <v>574</v>
      </c>
      <c r="F831" s="217" t="s">
        <v>519</v>
      </c>
      <c r="G831" s="218"/>
      <c r="H831" s="208" t="s">
        <v>520</v>
      </c>
      <c r="I831" s="238"/>
      <c r="J831" s="238"/>
      <c r="K831" s="238"/>
      <c r="L831" s="238"/>
      <c r="M831" s="500"/>
      <c r="N831" s="528"/>
      <c r="O831" s="299"/>
      <c r="P831" s="300"/>
      <c r="Q831" s="384"/>
      <c r="R831" s="222">
        <f t="shared" si="28"/>
        <v>0</v>
      </c>
      <c r="S831" s="347"/>
      <c r="T831" s="347"/>
      <c r="U831" s="347"/>
      <c r="V831" s="347"/>
    </row>
    <row r="832" spans="1:22" ht="15.6" outlineLevel="1" x14ac:dyDescent="0.3">
      <c r="A832" s="330"/>
      <c r="B832" s="237"/>
      <c r="C832" s="249"/>
      <c r="D832" s="218"/>
      <c r="E832" s="217" t="s">
        <v>574</v>
      </c>
      <c r="F832" s="217" t="s">
        <v>519</v>
      </c>
      <c r="G832" s="218"/>
      <c r="H832" s="208" t="s">
        <v>520</v>
      </c>
      <c r="I832" s="238"/>
      <c r="J832" s="238"/>
      <c r="K832" s="238"/>
      <c r="L832" s="238"/>
      <c r="M832" s="500"/>
      <c r="N832" s="528"/>
      <c r="O832" s="299"/>
      <c r="P832" s="300"/>
      <c r="Q832" s="384"/>
      <c r="R832" s="222">
        <f t="shared" si="28"/>
        <v>0</v>
      </c>
      <c r="S832" s="347"/>
      <c r="T832" s="347"/>
      <c r="U832" s="347"/>
      <c r="V832" s="347"/>
    </row>
    <row r="833" spans="1:22" ht="15.6" outlineLevel="1" x14ac:dyDescent="0.3">
      <c r="A833" s="330"/>
      <c r="B833" s="237"/>
      <c r="C833" s="249"/>
      <c r="D833" s="218"/>
      <c r="E833" s="217" t="s">
        <v>574</v>
      </c>
      <c r="F833" s="217" t="s">
        <v>519</v>
      </c>
      <c r="G833" s="218"/>
      <c r="H833" s="208" t="s">
        <v>520</v>
      </c>
      <c r="I833" s="238"/>
      <c r="J833" s="238"/>
      <c r="K833" s="238"/>
      <c r="L833" s="238"/>
      <c r="M833" s="500"/>
      <c r="N833" s="528"/>
      <c r="O833" s="299"/>
      <c r="P833" s="300"/>
      <c r="Q833" s="384"/>
      <c r="R833" s="222">
        <f t="shared" si="28"/>
        <v>0</v>
      </c>
      <c r="S833" s="347"/>
      <c r="T833" s="347"/>
      <c r="U833" s="347"/>
      <c r="V833" s="347"/>
    </row>
    <row r="834" spans="1:22" ht="15.6" outlineLevel="1" x14ac:dyDescent="0.3">
      <c r="A834" s="330"/>
      <c r="B834" s="237"/>
      <c r="C834" s="249"/>
      <c r="D834" s="218"/>
      <c r="E834" s="217" t="s">
        <v>574</v>
      </c>
      <c r="F834" s="217" t="s">
        <v>519</v>
      </c>
      <c r="G834" s="218"/>
      <c r="H834" s="208" t="s">
        <v>520</v>
      </c>
      <c r="I834" s="238"/>
      <c r="J834" s="238"/>
      <c r="K834" s="238"/>
      <c r="L834" s="238"/>
      <c r="M834" s="500"/>
      <c r="N834" s="528"/>
      <c r="O834" s="299"/>
      <c r="P834" s="300"/>
      <c r="Q834" s="384"/>
      <c r="R834" s="222">
        <f t="shared" ref="R834:R840" si="29">SUM(S834,T834,U834,V834)</f>
        <v>0</v>
      </c>
      <c r="S834" s="347"/>
      <c r="T834" s="347"/>
      <c r="U834" s="347"/>
      <c r="V834" s="347"/>
    </row>
    <row r="835" spans="1:22" ht="15.6" outlineLevel="1" x14ac:dyDescent="0.3">
      <c r="A835" s="330"/>
      <c r="B835" s="237"/>
      <c r="C835" s="249"/>
      <c r="D835" s="218"/>
      <c r="E835" s="217" t="s">
        <v>574</v>
      </c>
      <c r="F835" s="217" t="s">
        <v>519</v>
      </c>
      <c r="G835" s="218"/>
      <c r="H835" s="208" t="s">
        <v>520</v>
      </c>
      <c r="I835" s="238"/>
      <c r="J835" s="238"/>
      <c r="K835" s="238"/>
      <c r="L835" s="238"/>
      <c r="M835" s="500"/>
      <c r="N835" s="528"/>
      <c r="O835" s="299"/>
      <c r="P835" s="300"/>
      <c r="Q835" s="384"/>
      <c r="R835" s="222">
        <f t="shared" si="29"/>
        <v>0</v>
      </c>
      <c r="S835" s="347"/>
      <c r="T835" s="347"/>
      <c r="U835" s="347"/>
      <c r="V835" s="347"/>
    </row>
    <row r="836" spans="1:22" ht="15.6" outlineLevel="1" x14ac:dyDescent="0.3">
      <c r="A836" s="330"/>
      <c r="B836" s="237"/>
      <c r="C836" s="249"/>
      <c r="D836" s="218"/>
      <c r="E836" s="217" t="s">
        <v>574</v>
      </c>
      <c r="F836" s="217" t="s">
        <v>519</v>
      </c>
      <c r="G836" s="218"/>
      <c r="H836" s="208" t="s">
        <v>520</v>
      </c>
      <c r="I836" s="238"/>
      <c r="J836" s="238"/>
      <c r="K836" s="238"/>
      <c r="L836" s="238"/>
      <c r="M836" s="500"/>
      <c r="N836" s="528"/>
      <c r="O836" s="299"/>
      <c r="P836" s="300"/>
      <c r="Q836" s="384"/>
      <c r="R836" s="222">
        <f t="shared" si="29"/>
        <v>0</v>
      </c>
      <c r="S836" s="347"/>
      <c r="T836" s="347"/>
      <c r="U836" s="347"/>
      <c r="V836" s="347"/>
    </row>
    <row r="837" spans="1:22" ht="15.6" outlineLevel="1" x14ac:dyDescent="0.3">
      <c r="A837" s="330"/>
      <c r="B837" s="237"/>
      <c r="C837" s="249"/>
      <c r="D837" s="218"/>
      <c r="E837" s="217" t="s">
        <v>574</v>
      </c>
      <c r="F837" s="217" t="s">
        <v>519</v>
      </c>
      <c r="G837" s="218"/>
      <c r="H837" s="208" t="s">
        <v>520</v>
      </c>
      <c r="I837" s="238"/>
      <c r="J837" s="238"/>
      <c r="K837" s="238"/>
      <c r="L837" s="238"/>
      <c r="M837" s="500"/>
      <c r="N837" s="528"/>
      <c r="O837" s="299"/>
      <c r="P837" s="300"/>
      <c r="Q837" s="384"/>
      <c r="R837" s="222">
        <f t="shared" si="29"/>
        <v>0</v>
      </c>
      <c r="S837" s="347"/>
      <c r="T837" s="347"/>
      <c r="U837" s="347"/>
      <c r="V837" s="347"/>
    </row>
    <row r="838" spans="1:22" ht="15.6" outlineLevel="1" x14ac:dyDescent="0.3">
      <c r="A838" s="330"/>
      <c r="B838" s="237"/>
      <c r="C838" s="249"/>
      <c r="D838" s="218"/>
      <c r="E838" s="217" t="s">
        <v>574</v>
      </c>
      <c r="F838" s="217" t="s">
        <v>519</v>
      </c>
      <c r="G838" s="218"/>
      <c r="H838" s="208" t="s">
        <v>520</v>
      </c>
      <c r="I838" s="238"/>
      <c r="J838" s="238"/>
      <c r="K838" s="238"/>
      <c r="L838" s="238"/>
      <c r="M838" s="500"/>
      <c r="N838" s="528"/>
      <c r="O838" s="299"/>
      <c r="P838" s="300"/>
      <c r="Q838" s="384"/>
      <c r="R838" s="222">
        <f t="shared" si="29"/>
        <v>0</v>
      </c>
      <c r="S838" s="347"/>
      <c r="T838" s="347"/>
      <c r="U838" s="347"/>
      <c r="V838" s="347"/>
    </row>
    <row r="839" spans="1:22" ht="15.6" outlineLevel="1" x14ac:dyDescent="0.3">
      <c r="A839" s="330"/>
      <c r="B839" s="237"/>
      <c r="C839" s="249"/>
      <c r="D839" s="218"/>
      <c r="E839" s="217" t="s">
        <v>574</v>
      </c>
      <c r="F839" s="217" t="s">
        <v>519</v>
      </c>
      <c r="G839" s="218"/>
      <c r="H839" s="208" t="s">
        <v>520</v>
      </c>
      <c r="I839" s="238"/>
      <c r="J839" s="238"/>
      <c r="K839" s="238"/>
      <c r="L839" s="238"/>
      <c r="M839" s="500"/>
      <c r="N839" s="528"/>
      <c r="O839" s="299"/>
      <c r="P839" s="300"/>
      <c r="Q839" s="384"/>
      <c r="R839" s="222">
        <f t="shared" si="29"/>
        <v>0</v>
      </c>
      <c r="S839" s="347"/>
      <c r="T839" s="347"/>
      <c r="U839" s="347"/>
      <c r="V839" s="347"/>
    </row>
    <row r="840" spans="1:22" ht="15.6" outlineLevel="1" x14ac:dyDescent="0.3">
      <c r="A840" s="330"/>
      <c r="B840" s="237"/>
      <c r="C840" s="249"/>
      <c r="D840" s="218"/>
      <c r="E840" s="217" t="s">
        <v>574</v>
      </c>
      <c r="F840" s="217" t="s">
        <v>519</v>
      </c>
      <c r="G840" s="218"/>
      <c r="H840" s="208" t="s">
        <v>520</v>
      </c>
      <c r="I840" s="238"/>
      <c r="J840" s="238"/>
      <c r="K840" s="238"/>
      <c r="L840" s="238"/>
      <c r="M840" s="500"/>
      <c r="N840" s="528"/>
      <c r="O840" s="299"/>
      <c r="P840" s="300"/>
      <c r="Q840" s="384"/>
      <c r="R840" s="222">
        <f t="shared" si="29"/>
        <v>0</v>
      </c>
      <c r="S840" s="347"/>
      <c r="T840" s="347"/>
      <c r="U840" s="347"/>
      <c r="V840" s="347"/>
    </row>
    <row r="841" spans="1:22" ht="15.6" outlineLevel="1" x14ac:dyDescent="0.3">
      <c r="A841" s="330"/>
      <c r="B841" s="237"/>
      <c r="C841" s="249"/>
      <c r="D841" s="218"/>
      <c r="E841" s="217" t="s">
        <v>574</v>
      </c>
      <c r="F841" s="217" t="s">
        <v>519</v>
      </c>
      <c r="G841" s="218"/>
      <c r="H841" s="208" t="s">
        <v>520</v>
      </c>
      <c r="I841" s="238"/>
      <c r="J841" s="238"/>
      <c r="K841" s="238"/>
      <c r="L841" s="238"/>
      <c r="M841" s="500"/>
      <c r="N841" s="528"/>
      <c r="O841" s="299"/>
      <c r="P841" s="300"/>
      <c r="Q841" s="384"/>
      <c r="R841" s="222">
        <f t="shared" ref="R841:R852" si="30">SUM(S841,T841,U841,V841)</f>
        <v>0</v>
      </c>
      <c r="S841" s="347"/>
      <c r="T841" s="347"/>
      <c r="U841" s="347"/>
      <c r="V841" s="347"/>
    </row>
    <row r="842" spans="1:22" ht="15.6" outlineLevel="1" x14ac:dyDescent="0.3">
      <c r="A842" s="330"/>
      <c r="B842" s="237"/>
      <c r="C842" s="249"/>
      <c r="D842" s="218"/>
      <c r="E842" s="217" t="s">
        <v>574</v>
      </c>
      <c r="F842" s="217" t="s">
        <v>519</v>
      </c>
      <c r="G842" s="218"/>
      <c r="H842" s="208" t="s">
        <v>520</v>
      </c>
      <c r="I842" s="238"/>
      <c r="J842" s="238"/>
      <c r="K842" s="238"/>
      <c r="L842" s="238"/>
      <c r="M842" s="500"/>
      <c r="N842" s="528"/>
      <c r="O842" s="299"/>
      <c r="P842" s="300"/>
      <c r="Q842" s="384"/>
      <c r="R842" s="222">
        <f t="shared" si="30"/>
        <v>0</v>
      </c>
      <c r="S842" s="347"/>
      <c r="T842" s="347"/>
      <c r="U842" s="347"/>
      <c r="V842" s="347"/>
    </row>
    <row r="843" spans="1:22" ht="15.6" outlineLevel="1" x14ac:dyDescent="0.3">
      <c r="A843" s="330"/>
      <c r="B843" s="237"/>
      <c r="C843" s="249"/>
      <c r="D843" s="218"/>
      <c r="E843" s="217" t="s">
        <v>574</v>
      </c>
      <c r="F843" s="217" t="s">
        <v>519</v>
      </c>
      <c r="G843" s="218"/>
      <c r="H843" s="208" t="s">
        <v>520</v>
      </c>
      <c r="I843" s="238"/>
      <c r="J843" s="238"/>
      <c r="K843" s="238"/>
      <c r="L843" s="238"/>
      <c r="M843" s="500"/>
      <c r="N843" s="528"/>
      <c r="O843" s="299"/>
      <c r="P843" s="300"/>
      <c r="Q843" s="384"/>
      <c r="R843" s="222">
        <f t="shared" si="30"/>
        <v>0</v>
      </c>
      <c r="S843" s="347"/>
      <c r="T843" s="347"/>
      <c r="U843" s="347"/>
      <c r="V843" s="347"/>
    </row>
    <row r="844" spans="1:22" ht="15.6" outlineLevel="1" x14ac:dyDescent="0.3">
      <c r="A844" s="330"/>
      <c r="B844" s="237"/>
      <c r="C844" s="249"/>
      <c r="D844" s="218"/>
      <c r="E844" s="217" t="s">
        <v>574</v>
      </c>
      <c r="F844" s="217" t="s">
        <v>519</v>
      </c>
      <c r="G844" s="218"/>
      <c r="H844" s="208" t="s">
        <v>520</v>
      </c>
      <c r="I844" s="238"/>
      <c r="J844" s="238"/>
      <c r="K844" s="238"/>
      <c r="L844" s="238"/>
      <c r="M844" s="500"/>
      <c r="N844" s="528"/>
      <c r="O844" s="299"/>
      <c r="P844" s="300"/>
      <c r="Q844" s="384"/>
      <c r="R844" s="222">
        <f t="shared" si="30"/>
        <v>0</v>
      </c>
      <c r="S844" s="347"/>
      <c r="T844" s="347"/>
      <c r="U844" s="347"/>
      <c r="V844" s="347"/>
    </row>
    <row r="845" spans="1:22" ht="15.6" outlineLevel="1" x14ac:dyDescent="0.3">
      <c r="A845" s="330"/>
      <c r="B845" s="237"/>
      <c r="C845" s="249"/>
      <c r="D845" s="218"/>
      <c r="E845" s="217" t="s">
        <v>574</v>
      </c>
      <c r="F845" s="217" t="s">
        <v>519</v>
      </c>
      <c r="G845" s="218"/>
      <c r="H845" s="208" t="s">
        <v>520</v>
      </c>
      <c r="I845" s="238"/>
      <c r="J845" s="238"/>
      <c r="K845" s="238"/>
      <c r="L845" s="238"/>
      <c r="M845" s="500"/>
      <c r="N845" s="528"/>
      <c r="O845" s="299"/>
      <c r="P845" s="300"/>
      <c r="Q845" s="384"/>
      <c r="R845" s="222">
        <f t="shared" si="30"/>
        <v>0</v>
      </c>
      <c r="S845" s="347"/>
      <c r="T845" s="347"/>
      <c r="U845" s="347"/>
      <c r="V845" s="347"/>
    </row>
    <row r="846" spans="1:22" ht="15.6" outlineLevel="1" x14ac:dyDescent="0.3">
      <c r="A846" s="330"/>
      <c r="B846" s="237"/>
      <c r="C846" s="249"/>
      <c r="D846" s="218"/>
      <c r="E846" s="217" t="s">
        <v>574</v>
      </c>
      <c r="F846" s="217" t="s">
        <v>519</v>
      </c>
      <c r="G846" s="218"/>
      <c r="H846" s="208" t="s">
        <v>520</v>
      </c>
      <c r="I846" s="238"/>
      <c r="J846" s="238"/>
      <c r="K846" s="238"/>
      <c r="L846" s="238"/>
      <c r="M846" s="500"/>
      <c r="N846" s="528"/>
      <c r="O846" s="299"/>
      <c r="P846" s="300"/>
      <c r="Q846" s="384"/>
      <c r="R846" s="222">
        <f t="shared" si="30"/>
        <v>0</v>
      </c>
      <c r="S846" s="347"/>
      <c r="T846" s="347"/>
      <c r="U846" s="347"/>
      <c r="V846" s="347"/>
    </row>
    <row r="847" spans="1:22" ht="15.6" outlineLevel="1" x14ac:dyDescent="0.3">
      <c r="A847" s="330"/>
      <c r="B847" s="237"/>
      <c r="C847" s="249"/>
      <c r="D847" s="218"/>
      <c r="E847" s="217" t="s">
        <v>574</v>
      </c>
      <c r="F847" s="217" t="s">
        <v>519</v>
      </c>
      <c r="G847" s="218"/>
      <c r="H847" s="208" t="s">
        <v>520</v>
      </c>
      <c r="I847" s="238"/>
      <c r="J847" s="238"/>
      <c r="K847" s="238"/>
      <c r="L847" s="238"/>
      <c r="M847" s="500"/>
      <c r="N847" s="528"/>
      <c r="O847" s="299"/>
      <c r="P847" s="300"/>
      <c r="Q847" s="384"/>
      <c r="R847" s="222">
        <f t="shared" si="30"/>
        <v>0</v>
      </c>
      <c r="S847" s="347"/>
      <c r="T847" s="347"/>
      <c r="U847" s="347"/>
      <c r="V847" s="347"/>
    </row>
    <row r="848" spans="1:22" ht="15.6" outlineLevel="1" x14ac:dyDescent="0.3">
      <c r="A848" s="330"/>
      <c r="B848" s="237"/>
      <c r="C848" s="249"/>
      <c r="D848" s="218"/>
      <c r="E848" s="217" t="s">
        <v>574</v>
      </c>
      <c r="F848" s="217" t="s">
        <v>519</v>
      </c>
      <c r="G848" s="218"/>
      <c r="H848" s="208" t="s">
        <v>520</v>
      </c>
      <c r="I848" s="238"/>
      <c r="J848" s="238"/>
      <c r="K848" s="238"/>
      <c r="L848" s="238"/>
      <c r="M848" s="500"/>
      <c r="N848" s="528"/>
      <c r="O848" s="299"/>
      <c r="P848" s="300"/>
      <c r="Q848" s="384"/>
      <c r="R848" s="222">
        <f t="shared" si="30"/>
        <v>0</v>
      </c>
      <c r="S848" s="347"/>
      <c r="T848" s="347"/>
      <c r="U848" s="347"/>
      <c r="V848" s="347"/>
    </row>
    <row r="849" spans="1:30" ht="15.6" outlineLevel="1" x14ac:dyDescent="0.3">
      <c r="A849" s="330"/>
      <c r="B849" s="237"/>
      <c r="C849" s="249"/>
      <c r="D849" s="218"/>
      <c r="E849" s="217" t="s">
        <v>574</v>
      </c>
      <c r="F849" s="217" t="s">
        <v>519</v>
      </c>
      <c r="G849" s="218"/>
      <c r="H849" s="208" t="s">
        <v>520</v>
      </c>
      <c r="I849" s="238"/>
      <c r="J849" s="238"/>
      <c r="K849" s="238"/>
      <c r="L849" s="238"/>
      <c r="M849" s="500"/>
      <c r="N849" s="528"/>
      <c r="O849" s="299"/>
      <c r="P849" s="300"/>
      <c r="Q849" s="384"/>
      <c r="R849" s="222">
        <f t="shared" si="30"/>
        <v>0</v>
      </c>
      <c r="S849" s="347"/>
      <c r="T849" s="347"/>
      <c r="U849" s="347"/>
      <c r="V849" s="347"/>
    </row>
    <row r="850" spans="1:30" ht="15.6" outlineLevel="1" x14ac:dyDescent="0.3">
      <c r="A850" s="330"/>
      <c r="B850" s="237"/>
      <c r="C850" s="249"/>
      <c r="D850" s="218"/>
      <c r="E850" s="217" t="s">
        <v>574</v>
      </c>
      <c r="F850" s="217" t="s">
        <v>519</v>
      </c>
      <c r="G850" s="218"/>
      <c r="H850" s="208" t="s">
        <v>520</v>
      </c>
      <c r="I850" s="238"/>
      <c r="J850" s="238"/>
      <c r="K850" s="238"/>
      <c r="L850" s="238"/>
      <c r="M850" s="500"/>
      <c r="N850" s="528"/>
      <c r="O850" s="299"/>
      <c r="P850" s="300"/>
      <c r="Q850" s="384"/>
      <c r="R850" s="222">
        <f t="shared" si="30"/>
        <v>0</v>
      </c>
      <c r="S850" s="347"/>
      <c r="T850" s="347"/>
      <c r="U850" s="347"/>
      <c r="V850" s="347"/>
    </row>
    <row r="851" spans="1:30" ht="15.6" outlineLevel="1" x14ac:dyDescent="0.3">
      <c r="A851" s="330"/>
      <c r="B851" s="237"/>
      <c r="C851" s="249"/>
      <c r="D851" s="218"/>
      <c r="E851" s="217" t="s">
        <v>574</v>
      </c>
      <c r="F851" s="217" t="s">
        <v>519</v>
      </c>
      <c r="G851" s="218"/>
      <c r="H851" s="208" t="s">
        <v>520</v>
      </c>
      <c r="I851" s="238"/>
      <c r="J851" s="238"/>
      <c r="K851" s="238"/>
      <c r="L851" s="238"/>
      <c r="M851" s="500"/>
      <c r="N851" s="528"/>
      <c r="O851" s="299"/>
      <c r="P851" s="300"/>
      <c r="Q851" s="384"/>
      <c r="R851" s="222">
        <f t="shared" si="30"/>
        <v>0</v>
      </c>
      <c r="S851" s="347"/>
      <c r="T851" s="347"/>
      <c r="U851" s="347"/>
      <c r="V851" s="347"/>
    </row>
    <row r="852" spans="1:30" ht="15.6" outlineLevel="1" x14ac:dyDescent="0.3">
      <c r="A852" s="330"/>
      <c r="B852" s="237"/>
      <c r="C852" s="249"/>
      <c r="D852" s="218"/>
      <c r="E852" s="217" t="s">
        <v>574</v>
      </c>
      <c r="F852" s="217" t="s">
        <v>519</v>
      </c>
      <c r="G852" s="218"/>
      <c r="H852" s="208" t="s">
        <v>520</v>
      </c>
      <c r="I852" s="238"/>
      <c r="J852" s="238"/>
      <c r="K852" s="238"/>
      <c r="L852" s="238"/>
      <c r="M852" s="500"/>
      <c r="N852" s="528"/>
      <c r="O852" s="299"/>
      <c r="P852" s="300"/>
      <c r="Q852" s="384"/>
      <c r="R852" s="222">
        <f t="shared" si="30"/>
        <v>0</v>
      </c>
      <c r="S852" s="347"/>
      <c r="T852" s="347"/>
      <c r="U852" s="347"/>
      <c r="V852" s="347"/>
    </row>
    <row r="853" spans="1:30" ht="16.2" x14ac:dyDescent="0.35">
      <c r="A853" s="231" t="s">
        <v>738</v>
      </c>
      <c r="B853" s="232"/>
      <c r="C853" s="232"/>
      <c r="D853" s="302">
        <f>SUM(D854:D857)</f>
        <v>0</v>
      </c>
      <c r="E853" s="232"/>
      <c r="F853" s="258"/>
      <c r="G853" s="218" t="e">
        <f>AVERAGE(G854,G855,G856,G857)</f>
        <v>#DIV/0!</v>
      </c>
      <c r="H853" s="208" t="s">
        <v>520</v>
      </c>
      <c r="I853" s="260"/>
      <c r="J853" s="258"/>
      <c r="K853" s="232"/>
      <c r="L853" s="232"/>
      <c r="M853" s="495"/>
      <c r="N853" s="536"/>
      <c r="O853" s="350">
        <v>244</v>
      </c>
      <c r="P853" s="351">
        <v>346</v>
      </c>
      <c r="Q853" s="386"/>
      <c r="R853" s="229">
        <f>SUM(R854:R857)</f>
        <v>0</v>
      </c>
      <c r="S853" s="229">
        <f>SUM(S854:S857)</f>
        <v>0</v>
      </c>
      <c r="T853" s="229">
        <f>SUM(T854:T857)</f>
        <v>0</v>
      </c>
      <c r="U853" s="229">
        <f>SUM(U854:U857)</f>
        <v>0</v>
      </c>
      <c r="V853" s="229">
        <f>SUM(V854:V857)</f>
        <v>0</v>
      </c>
    </row>
    <row r="854" spans="1:30" s="283" customFormat="1" ht="15.6" outlineLevel="1" x14ac:dyDescent="0.3">
      <c r="A854" s="345"/>
      <c r="B854" s="238"/>
      <c r="C854" s="238"/>
      <c r="D854" s="218"/>
      <c r="E854" s="217" t="s">
        <v>574</v>
      </c>
      <c r="F854" s="217" t="s">
        <v>519</v>
      </c>
      <c r="G854" s="218"/>
      <c r="H854" s="208" t="s">
        <v>520</v>
      </c>
      <c r="I854" s="238"/>
      <c r="J854" s="238"/>
      <c r="K854" s="238"/>
      <c r="L854" s="238"/>
      <c r="M854" s="500"/>
      <c r="N854" s="528"/>
      <c r="O854" s="299"/>
      <c r="P854" s="300"/>
      <c r="Q854" s="384"/>
      <c r="R854" s="222">
        <f>SUM(S854,T854,U854,V854)</f>
        <v>0</v>
      </c>
      <c r="S854" s="347"/>
      <c r="T854" s="347"/>
      <c r="U854" s="347"/>
      <c r="V854" s="347"/>
      <c r="AC854" s="414"/>
      <c r="AD854" s="471"/>
    </row>
    <row r="855" spans="1:30" s="283" customFormat="1" ht="15.6" outlineLevel="1" x14ac:dyDescent="0.3">
      <c r="A855" s="345"/>
      <c r="B855" s="238"/>
      <c r="C855" s="238"/>
      <c r="D855" s="218"/>
      <c r="E855" s="217" t="s">
        <v>574</v>
      </c>
      <c r="F855" s="217" t="s">
        <v>519</v>
      </c>
      <c r="G855" s="218"/>
      <c r="H855" s="208" t="s">
        <v>520</v>
      </c>
      <c r="I855" s="238"/>
      <c r="J855" s="238"/>
      <c r="K855" s="238"/>
      <c r="L855" s="238"/>
      <c r="M855" s="500"/>
      <c r="N855" s="528"/>
      <c r="O855" s="299"/>
      <c r="P855" s="300"/>
      <c r="Q855" s="384"/>
      <c r="R855" s="222">
        <f>SUM(S855,T855,U855,V855)</f>
        <v>0</v>
      </c>
      <c r="S855" s="347"/>
      <c r="T855" s="347"/>
      <c r="U855" s="347"/>
      <c r="V855" s="347"/>
      <c r="AC855" s="414"/>
      <c r="AD855" s="471"/>
    </row>
    <row r="856" spans="1:30" s="283" customFormat="1" ht="15.6" outlineLevel="1" x14ac:dyDescent="0.3">
      <c r="A856" s="345"/>
      <c r="B856" s="238"/>
      <c r="C856" s="238"/>
      <c r="D856" s="218"/>
      <c r="E856" s="217" t="s">
        <v>574</v>
      </c>
      <c r="F856" s="217" t="s">
        <v>519</v>
      </c>
      <c r="G856" s="218"/>
      <c r="H856" s="208" t="s">
        <v>520</v>
      </c>
      <c r="I856" s="238"/>
      <c r="J856" s="238"/>
      <c r="K856" s="238"/>
      <c r="L856" s="238"/>
      <c r="M856" s="500"/>
      <c r="N856" s="528"/>
      <c r="O856" s="299"/>
      <c r="P856" s="300"/>
      <c r="Q856" s="384"/>
      <c r="R856" s="222">
        <f>SUM(S856,T856,U856,V856)</f>
        <v>0</v>
      </c>
      <c r="S856" s="347"/>
      <c r="T856" s="347"/>
      <c r="U856" s="347"/>
      <c r="V856" s="347"/>
      <c r="AC856" s="414"/>
      <c r="AD856" s="471"/>
    </row>
    <row r="857" spans="1:30" s="283" customFormat="1" ht="15.6" outlineLevel="1" x14ac:dyDescent="0.3">
      <c r="A857" s="345"/>
      <c r="B857" s="238"/>
      <c r="C857" s="238"/>
      <c r="D857" s="218"/>
      <c r="E857" s="217" t="s">
        <v>574</v>
      </c>
      <c r="F857" s="217" t="s">
        <v>519</v>
      </c>
      <c r="G857" s="218"/>
      <c r="H857" s="208" t="s">
        <v>520</v>
      </c>
      <c r="I857" s="238"/>
      <c r="J857" s="238"/>
      <c r="K857" s="238"/>
      <c r="L857" s="238"/>
      <c r="M857" s="500"/>
      <c r="N857" s="528"/>
      <c r="O857" s="299"/>
      <c r="P857" s="300"/>
      <c r="Q857" s="384"/>
      <c r="R857" s="222">
        <f>SUM(S857,T857,U857,V857)</f>
        <v>0</v>
      </c>
      <c r="S857" s="347"/>
      <c r="T857" s="347"/>
      <c r="U857" s="347"/>
      <c r="V857" s="347"/>
      <c r="AC857" s="414"/>
      <c r="AD857" s="471"/>
    </row>
    <row r="858" spans="1:30" ht="16.2" x14ac:dyDescent="0.35">
      <c r="A858" s="231" t="s">
        <v>672</v>
      </c>
      <c r="B858" s="232"/>
      <c r="C858" s="232"/>
      <c r="D858" s="232"/>
      <c r="E858" s="232"/>
      <c r="F858" s="258"/>
      <c r="G858" s="259"/>
      <c r="H858" s="232"/>
      <c r="I858" s="260"/>
      <c r="J858" s="258"/>
      <c r="K858" s="232"/>
      <c r="L858" s="232"/>
      <c r="M858" s="495"/>
      <c r="N858" s="536"/>
      <c r="O858" s="350">
        <v>244</v>
      </c>
      <c r="P858" s="351">
        <v>346</v>
      </c>
      <c r="Q858" s="386"/>
      <c r="R858" s="229">
        <f>SUM(R859:R913)</f>
        <v>0</v>
      </c>
      <c r="S858" s="229">
        <f>SUM(S859:S913)</f>
        <v>0</v>
      </c>
      <c r="T858" s="229">
        <f>SUM(T859:T913)</f>
        <v>0</v>
      </c>
      <c r="U858" s="229">
        <f>SUM(U859:U913)</f>
        <v>0</v>
      </c>
      <c r="V858" s="229">
        <f>SUM(V859:V913)</f>
        <v>0</v>
      </c>
    </row>
    <row r="859" spans="1:30" ht="15.6" outlineLevel="1" x14ac:dyDescent="0.3">
      <c r="A859" s="216"/>
      <c r="B859" s="353"/>
      <c r="C859" s="217"/>
      <c r="D859" s="218"/>
      <c r="E859" s="217" t="s">
        <v>574</v>
      </c>
      <c r="F859" s="217" t="s">
        <v>519</v>
      </c>
      <c r="G859" s="218"/>
      <c r="H859" s="208" t="s">
        <v>520</v>
      </c>
      <c r="I859" s="217"/>
      <c r="J859" s="238"/>
      <c r="K859" s="217"/>
      <c r="L859" s="217"/>
      <c r="M859" s="494"/>
      <c r="N859" s="535"/>
      <c r="O859" s="221"/>
      <c r="P859" s="220"/>
      <c r="Q859" s="381"/>
      <c r="R859" s="222">
        <f t="shared" ref="R859:R866" si="31">SUM(S859,T859,U859,V859)</f>
        <v>0</v>
      </c>
      <c r="S859" s="222"/>
      <c r="T859" s="222"/>
      <c r="U859" s="222"/>
      <c r="V859" s="222"/>
    </row>
    <row r="860" spans="1:30" ht="15.6" outlineLevel="1" x14ac:dyDescent="0.3">
      <c r="A860" s="216"/>
      <c r="B860" s="353"/>
      <c r="C860" s="217"/>
      <c r="D860" s="218"/>
      <c r="E860" s="217" t="s">
        <v>574</v>
      </c>
      <c r="F860" s="217" t="s">
        <v>519</v>
      </c>
      <c r="G860" s="218"/>
      <c r="H860" s="208" t="s">
        <v>520</v>
      </c>
      <c r="I860" s="217"/>
      <c r="J860" s="238"/>
      <c r="K860" s="217"/>
      <c r="L860" s="217"/>
      <c r="M860" s="494"/>
      <c r="N860" s="535"/>
      <c r="O860" s="221"/>
      <c r="P860" s="220"/>
      <c r="Q860" s="381"/>
      <c r="R860" s="222">
        <f t="shared" si="31"/>
        <v>0</v>
      </c>
      <c r="S860" s="222"/>
      <c r="T860" s="222"/>
      <c r="U860" s="222"/>
      <c r="V860" s="222"/>
    </row>
    <row r="861" spans="1:30" ht="15.6" outlineLevel="1" x14ac:dyDescent="0.3">
      <c r="A861" s="216"/>
      <c r="B861" s="353"/>
      <c r="C861" s="217"/>
      <c r="D861" s="218"/>
      <c r="E861" s="217" t="s">
        <v>574</v>
      </c>
      <c r="F861" s="217" t="s">
        <v>519</v>
      </c>
      <c r="G861" s="218"/>
      <c r="H861" s="208" t="s">
        <v>520</v>
      </c>
      <c r="I861" s="217"/>
      <c r="J861" s="238"/>
      <c r="K861" s="217"/>
      <c r="L861" s="217"/>
      <c r="M861" s="494"/>
      <c r="N861" s="535"/>
      <c r="O861" s="221"/>
      <c r="P861" s="220"/>
      <c r="Q861" s="381"/>
      <c r="R861" s="222">
        <f t="shared" si="31"/>
        <v>0</v>
      </c>
      <c r="S861" s="222"/>
      <c r="T861" s="222"/>
      <c r="U861" s="222"/>
      <c r="V861" s="222"/>
    </row>
    <row r="862" spans="1:30" ht="15.6" outlineLevel="1" x14ac:dyDescent="0.3">
      <c r="A862" s="216"/>
      <c r="B862" s="353"/>
      <c r="C862" s="217"/>
      <c r="D862" s="218"/>
      <c r="E862" s="217" t="s">
        <v>574</v>
      </c>
      <c r="F862" s="217" t="s">
        <v>519</v>
      </c>
      <c r="G862" s="218"/>
      <c r="H862" s="208" t="s">
        <v>520</v>
      </c>
      <c r="I862" s="217"/>
      <c r="J862" s="238"/>
      <c r="K862" s="217"/>
      <c r="L862" s="217"/>
      <c r="M862" s="494"/>
      <c r="N862" s="535"/>
      <c r="O862" s="221"/>
      <c r="P862" s="220"/>
      <c r="Q862" s="381"/>
      <c r="R862" s="222">
        <f t="shared" si="31"/>
        <v>0</v>
      </c>
      <c r="S862" s="222"/>
      <c r="T862" s="222"/>
      <c r="U862" s="222"/>
      <c r="V862" s="222"/>
    </row>
    <row r="863" spans="1:30" ht="15.6" outlineLevel="1" x14ac:dyDescent="0.3">
      <c r="A863" s="216"/>
      <c r="B863" s="353"/>
      <c r="C863" s="217"/>
      <c r="D863" s="218"/>
      <c r="E863" s="217" t="s">
        <v>574</v>
      </c>
      <c r="F863" s="217" t="s">
        <v>519</v>
      </c>
      <c r="G863" s="218"/>
      <c r="H863" s="208" t="s">
        <v>520</v>
      </c>
      <c r="I863" s="217"/>
      <c r="J863" s="238"/>
      <c r="K863" s="217"/>
      <c r="L863" s="217"/>
      <c r="M863" s="494"/>
      <c r="N863" s="535"/>
      <c r="O863" s="221"/>
      <c r="P863" s="220"/>
      <c r="Q863" s="381"/>
      <c r="R863" s="222">
        <f t="shared" si="31"/>
        <v>0</v>
      </c>
      <c r="S863" s="222"/>
      <c r="T863" s="222"/>
      <c r="U863" s="222"/>
      <c r="V863" s="222"/>
    </row>
    <row r="864" spans="1:30" ht="15.6" outlineLevel="1" x14ac:dyDescent="0.3">
      <c r="A864" s="216"/>
      <c r="B864" s="353"/>
      <c r="C864" s="217"/>
      <c r="D864" s="218"/>
      <c r="E864" s="217" t="s">
        <v>574</v>
      </c>
      <c r="F864" s="217" t="s">
        <v>519</v>
      </c>
      <c r="G864" s="218"/>
      <c r="H864" s="208" t="s">
        <v>520</v>
      </c>
      <c r="I864" s="217"/>
      <c r="J864" s="238"/>
      <c r="K864" s="217"/>
      <c r="L864" s="217"/>
      <c r="M864" s="494"/>
      <c r="N864" s="535"/>
      <c r="O864" s="221"/>
      <c r="P864" s="220"/>
      <c r="Q864" s="381"/>
      <c r="R864" s="222">
        <f t="shared" si="31"/>
        <v>0</v>
      </c>
      <c r="S864" s="222"/>
      <c r="T864" s="222"/>
      <c r="U864" s="222"/>
      <c r="V864" s="222"/>
    </row>
    <row r="865" spans="1:22" ht="15.6" outlineLevel="1" x14ac:dyDescent="0.3">
      <c r="A865" s="216"/>
      <c r="B865" s="353"/>
      <c r="C865" s="217"/>
      <c r="D865" s="218"/>
      <c r="E865" s="217" t="s">
        <v>574</v>
      </c>
      <c r="F865" s="217" t="s">
        <v>519</v>
      </c>
      <c r="G865" s="218"/>
      <c r="H865" s="208" t="s">
        <v>520</v>
      </c>
      <c r="I865" s="217"/>
      <c r="J865" s="238"/>
      <c r="K865" s="217"/>
      <c r="L865" s="217"/>
      <c r="M865" s="494"/>
      <c r="N865" s="535"/>
      <c r="O865" s="221"/>
      <c r="P865" s="220"/>
      <c r="Q865" s="381"/>
      <c r="R865" s="222">
        <f t="shared" si="31"/>
        <v>0</v>
      </c>
      <c r="S865" s="222"/>
      <c r="T865" s="222"/>
      <c r="U865" s="222"/>
      <c r="V865" s="222"/>
    </row>
    <row r="866" spans="1:22" ht="15.6" outlineLevel="1" x14ac:dyDescent="0.3">
      <c r="A866" s="216"/>
      <c r="B866" s="353"/>
      <c r="C866" s="217"/>
      <c r="D866" s="218"/>
      <c r="E866" s="217" t="s">
        <v>574</v>
      </c>
      <c r="F866" s="217" t="s">
        <v>519</v>
      </c>
      <c r="G866" s="218"/>
      <c r="H866" s="208" t="s">
        <v>520</v>
      </c>
      <c r="I866" s="217"/>
      <c r="J866" s="238"/>
      <c r="K866" s="217"/>
      <c r="L866" s="217"/>
      <c r="M866" s="494"/>
      <c r="N866" s="535"/>
      <c r="O866" s="221"/>
      <c r="P866" s="220"/>
      <c r="Q866" s="381"/>
      <c r="R866" s="222">
        <f t="shared" si="31"/>
        <v>0</v>
      </c>
      <c r="S866" s="222"/>
      <c r="T866" s="222"/>
      <c r="U866" s="222"/>
      <c r="V866" s="222"/>
    </row>
    <row r="867" spans="1:22" ht="15.6" outlineLevel="1" x14ac:dyDescent="0.3">
      <c r="A867" s="216"/>
      <c r="B867" s="353"/>
      <c r="C867" s="217"/>
      <c r="D867" s="218"/>
      <c r="E867" s="217" t="s">
        <v>574</v>
      </c>
      <c r="F867" s="217" t="s">
        <v>519</v>
      </c>
      <c r="G867" s="218"/>
      <c r="H867" s="208" t="s">
        <v>520</v>
      </c>
      <c r="I867" s="217"/>
      <c r="J867" s="238"/>
      <c r="K867" s="217"/>
      <c r="L867" s="217"/>
      <c r="M867" s="494"/>
      <c r="N867" s="535"/>
      <c r="O867" s="221"/>
      <c r="P867" s="220"/>
      <c r="Q867" s="381"/>
      <c r="R867" s="222">
        <f t="shared" ref="R867:R880" si="32">SUM(S867,T867,U867,V867)</f>
        <v>0</v>
      </c>
      <c r="S867" s="222"/>
      <c r="T867" s="222"/>
      <c r="U867" s="222"/>
      <c r="V867" s="222"/>
    </row>
    <row r="868" spans="1:22" ht="15.6" outlineLevel="1" x14ac:dyDescent="0.3">
      <c r="A868" s="216"/>
      <c r="B868" s="353"/>
      <c r="C868" s="217"/>
      <c r="D868" s="218"/>
      <c r="E868" s="217" t="s">
        <v>574</v>
      </c>
      <c r="F868" s="217" t="s">
        <v>519</v>
      </c>
      <c r="G868" s="218"/>
      <c r="H868" s="208" t="s">
        <v>520</v>
      </c>
      <c r="I868" s="217"/>
      <c r="J868" s="238"/>
      <c r="K868" s="217"/>
      <c r="L868" s="217"/>
      <c r="M868" s="494"/>
      <c r="N868" s="535"/>
      <c r="O868" s="221"/>
      <c r="P868" s="220"/>
      <c r="Q868" s="381"/>
      <c r="R868" s="222">
        <f t="shared" si="32"/>
        <v>0</v>
      </c>
      <c r="S868" s="222"/>
      <c r="T868" s="222"/>
      <c r="U868" s="222"/>
      <c r="V868" s="222"/>
    </row>
    <row r="869" spans="1:22" ht="15.6" outlineLevel="1" x14ac:dyDescent="0.3">
      <c r="A869" s="216"/>
      <c r="B869" s="353"/>
      <c r="C869" s="217"/>
      <c r="D869" s="218"/>
      <c r="E869" s="217" t="s">
        <v>574</v>
      </c>
      <c r="F869" s="217" t="s">
        <v>519</v>
      </c>
      <c r="G869" s="218"/>
      <c r="H869" s="208" t="s">
        <v>520</v>
      </c>
      <c r="I869" s="217"/>
      <c r="J869" s="238"/>
      <c r="K869" s="217"/>
      <c r="L869" s="217"/>
      <c r="M869" s="494"/>
      <c r="N869" s="535"/>
      <c r="O869" s="221"/>
      <c r="P869" s="220"/>
      <c r="Q869" s="381"/>
      <c r="R869" s="222">
        <f t="shared" si="32"/>
        <v>0</v>
      </c>
      <c r="S869" s="222"/>
      <c r="T869" s="222"/>
      <c r="U869" s="222"/>
      <c r="V869" s="222"/>
    </row>
    <row r="870" spans="1:22" ht="15.6" outlineLevel="1" x14ac:dyDescent="0.3">
      <c r="A870" s="216"/>
      <c r="B870" s="353"/>
      <c r="C870" s="217"/>
      <c r="D870" s="218"/>
      <c r="E870" s="217" t="s">
        <v>574</v>
      </c>
      <c r="F870" s="217" t="s">
        <v>519</v>
      </c>
      <c r="G870" s="218"/>
      <c r="H870" s="208" t="s">
        <v>520</v>
      </c>
      <c r="I870" s="217"/>
      <c r="J870" s="238"/>
      <c r="K870" s="217"/>
      <c r="L870" s="217"/>
      <c r="M870" s="494"/>
      <c r="N870" s="535"/>
      <c r="O870" s="221"/>
      <c r="P870" s="220"/>
      <c r="Q870" s="381"/>
      <c r="R870" s="222">
        <f t="shared" si="32"/>
        <v>0</v>
      </c>
      <c r="S870" s="222"/>
      <c r="T870" s="222"/>
      <c r="U870" s="222"/>
      <c r="V870" s="222"/>
    </row>
    <row r="871" spans="1:22" ht="15.6" outlineLevel="1" x14ac:dyDescent="0.3">
      <c r="A871" s="216"/>
      <c r="B871" s="353"/>
      <c r="C871" s="217"/>
      <c r="D871" s="218"/>
      <c r="E871" s="217" t="s">
        <v>574</v>
      </c>
      <c r="F871" s="217" t="s">
        <v>519</v>
      </c>
      <c r="G871" s="218"/>
      <c r="H871" s="208" t="s">
        <v>520</v>
      </c>
      <c r="I871" s="217"/>
      <c r="J871" s="238"/>
      <c r="K871" s="217"/>
      <c r="L871" s="217"/>
      <c r="M871" s="494"/>
      <c r="N871" s="535"/>
      <c r="O871" s="221"/>
      <c r="P871" s="220"/>
      <c r="Q871" s="381"/>
      <c r="R871" s="222">
        <f t="shared" si="32"/>
        <v>0</v>
      </c>
      <c r="S871" s="222"/>
      <c r="T871" s="222"/>
      <c r="U871" s="222"/>
      <c r="V871" s="222"/>
    </row>
    <row r="872" spans="1:22" ht="15.6" outlineLevel="1" x14ac:dyDescent="0.3">
      <c r="A872" s="216"/>
      <c r="B872" s="353"/>
      <c r="C872" s="217"/>
      <c r="D872" s="218"/>
      <c r="E872" s="217" t="s">
        <v>574</v>
      </c>
      <c r="F872" s="217" t="s">
        <v>519</v>
      </c>
      <c r="G872" s="218"/>
      <c r="H872" s="208" t="s">
        <v>520</v>
      </c>
      <c r="I872" s="217"/>
      <c r="J872" s="238"/>
      <c r="K872" s="217"/>
      <c r="L872" s="217"/>
      <c r="M872" s="494"/>
      <c r="N872" s="535"/>
      <c r="O872" s="221"/>
      <c r="P872" s="220"/>
      <c r="Q872" s="381"/>
      <c r="R872" s="222">
        <f t="shared" si="32"/>
        <v>0</v>
      </c>
      <c r="S872" s="222"/>
      <c r="T872" s="222"/>
      <c r="U872" s="222"/>
      <c r="V872" s="222"/>
    </row>
    <row r="873" spans="1:22" ht="15.6" outlineLevel="1" x14ac:dyDescent="0.3">
      <c r="A873" s="216"/>
      <c r="B873" s="353"/>
      <c r="C873" s="217"/>
      <c r="D873" s="218"/>
      <c r="E873" s="217" t="s">
        <v>673</v>
      </c>
      <c r="F873" s="217" t="s">
        <v>519</v>
      </c>
      <c r="G873" s="218"/>
      <c r="H873" s="208" t="s">
        <v>577</v>
      </c>
      <c r="I873" s="217">
        <v>12</v>
      </c>
      <c r="J873" s="238" t="s">
        <v>674</v>
      </c>
      <c r="K873" s="217"/>
      <c r="L873" s="217"/>
      <c r="M873" s="494"/>
      <c r="N873" s="535"/>
      <c r="O873" s="221"/>
      <c r="P873" s="220"/>
      <c r="Q873" s="381"/>
      <c r="R873" s="222">
        <f t="shared" si="32"/>
        <v>0</v>
      </c>
      <c r="S873" s="222"/>
      <c r="T873" s="222"/>
      <c r="U873" s="222"/>
      <c r="V873" s="222"/>
    </row>
    <row r="874" spans="1:22" ht="15.6" outlineLevel="1" x14ac:dyDescent="0.3">
      <c r="A874" s="216"/>
      <c r="B874" s="353"/>
      <c r="C874" s="217"/>
      <c r="D874" s="218"/>
      <c r="E874" s="217" t="s">
        <v>675</v>
      </c>
      <c r="F874" s="217" t="s">
        <v>519</v>
      </c>
      <c r="G874" s="218"/>
      <c r="H874" s="208" t="s">
        <v>577</v>
      </c>
      <c r="I874" s="217">
        <v>12</v>
      </c>
      <c r="J874" s="238" t="s">
        <v>674</v>
      </c>
      <c r="K874" s="217"/>
      <c r="L874" s="217"/>
      <c r="M874" s="494"/>
      <c r="N874" s="535"/>
      <c r="O874" s="221"/>
      <c r="P874" s="220"/>
      <c r="Q874" s="381"/>
      <c r="R874" s="222">
        <f t="shared" si="32"/>
        <v>0</v>
      </c>
      <c r="S874" s="222"/>
      <c r="T874" s="222"/>
      <c r="U874" s="222"/>
      <c r="V874" s="222"/>
    </row>
    <row r="875" spans="1:22" ht="15.6" outlineLevel="1" x14ac:dyDescent="0.3">
      <c r="A875" s="216"/>
      <c r="B875" s="353"/>
      <c r="C875" s="217"/>
      <c r="D875" s="218"/>
      <c r="E875" s="217" t="s">
        <v>812</v>
      </c>
      <c r="F875" s="217" t="s">
        <v>519</v>
      </c>
      <c r="G875" s="218"/>
      <c r="H875" s="208" t="s">
        <v>577</v>
      </c>
      <c r="I875" s="217">
        <v>12</v>
      </c>
      <c r="J875" s="238" t="s">
        <v>674</v>
      </c>
      <c r="K875" s="217"/>
      <c r="L875" s="217"/>
      <c r="M875" s="494"/>
      <c r="N875" s="535"/>
      <c r="O875" s="221"/>
      <c r="P875" s="220"/>
      <c r="Q875" s="381"/>
      <c r="R875" s="222">
        <f t="shared" si="32"/>
        <v>0</v>
      </c>
      <c r="S875" s="222"/>
      <c r="T875" s="222"/>
      <c r="U875" s="222"/>
      <c r="V875" s="222"/>
    </row>
    <row r="876" spans="1:22" ht="15.6" outlineLevel="1" x14ac:dyDescent="0.3">
      <c r="A876" s="216"/>
      <c r="B876" s="353"/>
      <c r="C876" s="217"/>
      <c r="D876" s="218"/>
      <c r="E876" s="217" t="s">
        <v>812</v>
      </c>
      <c r="F876" s="217" t="s">
        <v>519</v>
      </c>
      <c r="G876" s="218"/>
      <c r="H876" s="208" t="s">
        <v>577</v>
      </c>
      <c r="I876" s="217">
        <v>12</v>
      </c>
      <c r="J876" s="238" t="s">
        <v>674</v>
      </c>
      <c r="K876" s="217"/>
      <c r="L876" s="217"/>
      <c r="M876" s="494"/>
      <c r="N876" s="535"/>
      <c r="O876" s="221"/>
      <c r="P876" s="220"/>
      <c r="Q876" s="381"/>
      <c r="R876" s="222">
        <f t="shared" si="32"/>
        <v>0</v>
      </c>
      <c r="S876" s="222"/>
      <c r="T876" s="222"/>
      <c r="U876" s="222"/>
      <c r="V876" s="222"/>
    </row>
    <row r="877" spans="1:22" ht="15.6" outlineLevel="1" x14ac:dyDescent="0.3">
      <c r="A877" s="216"/>
      <c r="B877" s="353"/>
      <c r="C877" s="217"/>
      <c r="D877" s="218"/>
      <c r="E877" s="217" t="s">
        <v>675</v>
      </c>
      <c r="F877" s="217" t="s">
        <v>519</v>
      </c>
      <c r="G877" s="218"/>
      <c r="H877" s="208" t="s">
        <v>577</v>
      </c>
      <c r="I877" s="217">
        <v>12</v>
      </c>
      <c r="J877" s="238" t="s">
        <v>674</v>
      </c>
      <c r="K877" s="217"/>
      <c r="L877" s="217"/>
      <c r="M877" s="494"/>
      <c r="N877" s="535"/>
      <c r="O877" s="221"/>
      <c r="P877" s="220"/>
      <c r="Q877" s="381"/>
      <c r="R877" s="222">
        <f t="shared" si="32"/>
        <v>0</v>
      </c>
      <c r="S877" s="222"/>
      <c r="T877" s="222"/>
      <c r="U877" s="222"/>
      <c r="V877" s="222"/>
    </row>
    <row r="878" spans="1:22" ht="15.6" outlineLevel="1" x14ac:dyDescent="0.3">
      <c r="A878" s="216"/>
      <c r="B878" s="353"/>
      <c r="C878" s="217"/>
      <c r="D878" s="218"/>
      <c r="E878" s="217" t="s">
        <v>675</v>
      </c>
      <c r="F878" s="217" t="s">
        <v>519</v>
      </c>
      <c r="G878" s="218"/>
      <c r="H878" s="208" t="s">
        <v>577</v>
      </c>
      <c r="I878" s="217">
        <v>12</v>
      </c>
      <c r="J878" s="238" t="s">
        <v>674</v>
      </c>
      <c r="K878" s="217"/>
      <c r="L878" s="217"/>
      <c r="M878" s="494"/>
      <c r="N878" s="535"/>
      <c r="O878" s="221"/>
      <c r="P878" s="220"/>
      <c r="Q878" s="381"/>
      <c r="R878" s="222">
        <f t="shared" si="32"/>
        <v>0</v>
      </c>
      <c r="S878" s="222"/>
      <c r="T878" s="222"/>
      <c r="U878" s="222"/>
      <c r="V878" s="222"/>
    </row>
    <row r="879" spans="1:22" ht="15.6" outlineLevel="1" x14ac:dyDescent="0.3">
      <c r="A879" s="216"/>
      <c r="B879" s="353"/>
      <c r="C879" s="217"/>
      <c r="D879" s="218"/>
      <c r="E879" s="217" t="s">
        <v>574</v>
      </c>
      <c r="F879" s="217" t="s">
        <v>519</v>
      </c>
      <c r="G879" s="218"/>
      <c r="H879" s="208" t="s">
        <v>520</v>
      </c>
      <c r="I879" s="217"/>
      <c r="J879" s="238"/>
      <c r="K879" s="217"/>
      <c r="L879" s="217"/>
      <c r="M879" s="494"/>
      <c r="N879" s="535"/>
      <c r="O879" s="221"/>
      <c r="P879" s="220"/>
      <c r="Q879" s="381"/>
      <c r="R879" s="222">
        <f t="shared" si="32"/>
        <v>0</v>
      </c>
      <c r="S879" s="222"/>
      <c r="T879" s="222"/>
      <c r="U879" s="222"/>
      <c r="V879" s="222"/>
    </row>
    <row r="880" spans="1:22" ht="15.6" outlineLevel="1" x14ac:dyDescent="0.3">
      <c r="A880" s="216"/>
      <c r="B880" s="353"/>
      <c r="C880" s="217"/>
      <c r="D880" s="218"/>
      <c r="E880" s="217" t="s">
        <v>574</v>
      </c>
      <c r="F880" s="217" t="s">
        <v>519</v>
      </c>
      <c r="G880" s="218"/>
      <c r="H880" s="208" t="s">
        <v>520</v>
      </c>
      <c r="I880" s="217"/>
      <c r="J880" s="238"/>
      <c r="K880" s="217"/>
      <c r="L880" s="217"/>
      <c r="M880" s="494"/>
      <c r="N880" s="535"/>
      <c r="O880" s="221"/>
      <c r="P880" s="220"/>
      <c r="Q880" s="381"/>
      <c r="R880" s="222">
        <f t="shared" si="32"/>
        <v>0</v>
      </c>
      <c r="S880" s="222"/>
      <c r="T880" s="222"/>
      <c r="U880" s="222"/>
      <c r="V880" s="222"/>
    </row>
    <row r="881" spans="1:22" ht="15.6" outlineLevel="1" x14ac:dyDescent="0.3">
      <c r="A881" s="216"/>
      <c r="B881" s="353"/>
      <c r="D881" s="218"/>
      <c r="E881" s="217" t="s">
        <v>574</v>
      </c>
      <c r="F881" s="217" t="s">
        <v>519</v>
      </c>
      <c r="G881" s="218"/>
      <c r="H881" s="208" t="s">
        <v>520</v>
      </c>
      <c r="I881" s="217"/>
      <c r="J881" s="238"/>
      <c r="K881" s="217"/>
      <c r="L881" s="217"/>
      <c r="M881" s="494"/>
      <c r="N881" s="535"/>
      <c r="O881" s="221"/>
      <c r="P881" s="220"/>
      <c r="Q881" s="381"/>
      <c r="R881" s="222">
        <f t="shared" ref="R881:R889" si="33">SUM(S881,T881,U881,V881)</f>
        <v>0</v>
      </c>
      <c r="S881" s="222"/>
      <c r="T881" s="222"/>
      <c r="U881" s="222"/>
      <c r="V881" s="222"/>
    </row>
    <row r="882" spans="1:22" ht="15.6" outlineLevel="1" x14ac:dyDescent="0.3">
      <c r="A882" s="216"/>
      <c r="B882" s="353"/>
      <c r="D882" s="218"/>
      <c r="E882" s="217" t="s">
        <v>574</v>
      </c>
      <c r="F882" s="217" t="s">
        <v>519</v>
      </c>
      <c r="G882" s="218"/>
      <c r="H882" s="208" t="s">
        <v>520</v>
      </c>
      <c r="I882" s="217"/>
      <c r="J882" s="238"/>
      <c r="K882" s="217"/>
      <c r="L882" s="217"/>
      <c r="M882" s="494"/>
      <c r="N882" s="535"/>
      <c r="O882" s="221"/>
      <c r="P882" s="220"/>
      <c r="Q882" s="381"/>
      <c r="R882" s="222">
        <f t="shared" si="33"/>
        <v>0</v>
      </c>
      <c r="S882" s="222"/>
      <c r="T882" s="222"/>
      <c r="U882" s="222"/>
      <c r="V882" s="222"/>
    </row>
    <row r="883" spans="1:22" ht="15.6" outlineLevel="1" x14ac:dyDescent="0.3">
      <c r="A883" s="216"/>
      <c r="B883" s="353"/>
      <c r="D883" s="218"/>
      <c r="E883" s="217" t="s">
        <v>574</v>
      </c>
      <c r="F883" s="217" t="s">
        <v>519</v>
      </c>
      <c r="G883" s="218"/>
      <c r="H883" s="208" t="s">
        <v>520</v>
      </c>
      <c r="I883" s="217"/>
      <c r="J883" s="238"/>
      <c r="K883" s="217"/>
      <c r="L883" s="217"/>
      <c r="M883" s="494"/>
      <c r="N883" s="535"/>
      <c r="O883" s="221"/>
      <c r="P883" s="220"/>
      <c r="Q883" s="381"/>
      <c r="R883" s="222">
        <f t="shared" si="33"/>
        <v>0</v>
      </c>
      <c r="S883" s="222"/>
      <c r="T883" s="222"/>
      <c r="U883" s="222"/>
      <c r="V883" s="222"/>
    </row>
    <row r="884" spans="1:22" ht="15.6" outlineLevel="1" x14ac:dyDescent="0.3">
      <c r="A884" s="216"/>
      <c r="B884" s="353"/>
      <c r="D884" s="218"/>
      <c r="E884" s="217" t="s">
        <v>574</v>
      </c>
      <c r="F884" s="217" t="s">
        <v>519</v>
      </c>
      <c r="G884" s="218"/>
      <c r="H884" s="208" t="s">
        <v>520</v>
      </c>
      <c r="I884" s="217"/>
      <c r="J884" s="238"/>
      <c r="K884" s="217"/>
      <c r="L884" s="217"/>
      <c r="M884" s="494"/>
      <c r="N884" s="535"/>
      <c r="O884" s="221"/>
      <c r="P884" s="220"/>
      <c r="Q884" s="381"/>
      <c r="R884" s="222">
        <f t="shared" si="33"/>
        <v>0</v>
      </c>
      <c r="S884" s="222"/>
      <c r="T884" s="222"/>
      <c r="U884" s="222"/>
      <c r="V884" s="222"/>
    </row>
    <row r="885" spans="1:22" ht="15.6" outlineLevel="1" x14ac:dyDescent="0.3">
      <c r="A885" s="216"/>
      <c r="B885" s="353"/>
      <c r="D885" s="218"/>
      <c r="E885" s="217" t="s">
        <v>574</v>
      </c>
      <c r="F885" s="217" t="s">
        <v>519</v>
      </c>
      <c r="G885" s="218"/>
      <c r="H885" s="208" t="s">
        <v>520</v>
      </c>
      <c r="I885" s="217"/>
      <c r="J885" s="238"/>
      <c r="K885" s="217"/>
      <c r="L885" s="217"/>
      <c r="M885" s="494"/>
      <c r="N885" s="535"/>
      <c r="O885" s="221"/>
      <c r="P885" s="220"/>
      <c r="Q885" s="381"/>
      <c r="R885" s="222">
        <f t="shared" si="33"/>
        <v>0</v>
      </c>
      <c r="S885" s="222"/>
      <c r="T885" s="222"/>
      <c r="U885" s="222"/>
      <c r="V885" s="222"/>
    </row>
    <row r="886" spans="1:22" ht="15.6" outlineLevel="1" x14ac:dyDescent="0.3">
      <c r="A886" s="216"/>
      <c r="B886" s="353"/>
      <c r="D886" s="218"/>
      <c r="E886" s="217" t="s">
        <v>574</v>
      </c>
      <c r="F886" s="217" t="s">
        <v>519</v>
      </c>
      <c r="G886" s="218"/>
      <c r="H886" s="208" t="s">
        <v>520</v>
      </c>
      <c r="I886" s="217"/>
      <c r="J886" s="238"/>
      <c r="K886" s="217"/>
      <c r="L886" s="217"/>
      <c r="M886" s="494"/>
      <c r="N886" s="535"/>
      <c r="O886" s="221"/>
      <c r="P886" s="220"/>
      <c r="Q886" s="381"/>
      <c r="R886" s="222">
        <f t="shared" si="33"/>
        <v>0</v>
      </c>
      <c r="S886" s="222"/>
      <c r="T886" s="222"/>
      <c r="U886" s="222"/>
      <c r="V886" s="222"/>
    </row>
    <row r="887" spans="1:22" ht="15.6" outlineLevel="1" x14ac:dyDescent="0.3">
      <c r="A887" s="216"/>
      <c r="B887" s="353"/>
      <c r="D887" s="218"/>
      <c r="E887" s="217" t="s">
        <v>736</v>
      </c>
      <c r="F887" s="217" t="s">
        <v>519</v>
      </c>
      <c r="G887" s="218"/>
      <c r="H887" s="208" t="s">
        <v>520</v>
      </c>
      <c r="I887" s="217"/>
      <c r="J887" s="238"/>
      <c r="K887" s="217"/>
      <c r="L887" s="217"/>
      <c r="M887" s="494"/>
      <c r="N887" s="535"/>
      <c r="O887" s="221"/>
      <c r="P887" s="220"/>
      <c r="Q887" s="381"/>
      <c r="R887" s="222">
        <f t="shared" si="33"/>
        <v>0</v>
      </c>
      <c r="S887" s="222"/>
      <c r="T887" s="222"/>
      <c r="U887" s="222"/>
      <c r="V887" s="222"/>
    </row>
    <row r="888" spans="1:22" ht="15.6" outlineLevel="1" x14ac:dyDescent="0.3">
      <c r="A888" s="216"/>
      <c r="B888" s="353"/>
      <c r="D888" s="218"/>
      <c r="E888" s="217" t="s">
        <v>736</v>
      </c>
      <c r="F888" s="217" t="s">
        <v>519</v>
      </c>
      <c r="G888" s="218"/>
      <c r="H888" s="208" t="s">
        <v>520</v>
      </c>
      <c r="I888" s="217"/>
      <c r="J888" s="238"/>
      <c r="K888" s="217"/>
      <c r="L888" s="217"/>
      <c r="M888" s="494"/>
      <c r="N888" s="535"/>
      <c r="O888" s="221"/>
      <c r="P888" s="220"/>
      <c r="Q888" s="381"/>
      <c r="R888" s="222">
        <f t="shared" si="33"/>
        <v>0</v>
      </c>
      <c r="S888" s="222"/>
      <c r="T888" s="222"/>
      <c r="U888" s="222"/>
      <c r="V888" s="222"/>
    </row>
    <row r="889" spans="1:22" ht="15.6" outlineLevel="1" x14ac:dyDescent="0.3">
      <c r="A889" s="216"/>
      <c r="B889" s="353"/>
      <c r="D889" s="218"/>
      <c r="E889" s="217" t="s">
        <v>736</v>
      </c>
      <c r="F889" s="217" t="s">
        <v>519</v>
      </c>
      <c r="G889" s="218"/>
      <c r="H889" s="208" t="s">
        <v>520</v>
      </c>
      <c r="I889" s="217"/>
      <c r="J889" s="238"/>
      <c r="K889" s="217"/>
      <c r="L889" s="217"/>
      <c r="M889" s="494"/>
      <c r="N889" s="535"/>
      <c r="O889" s="221"/>
      <c r="P889" s="220"/>
      <c r="Q889" s="381"/>
      <c r="R889" s="222">
        <f t="shared" si="33"/>
        <v>0</v>
      </c>
      <c r="S889" s="222"/>
      <c r="T889" s="222"/>
      <c r="U889" s="222"/>
      <c r="V889" s="222"/>
    </row>
    <row r="890" spans="1:22" ht="15.6" outlineLevel="1" x14ac:dyDescent="0.3">
      <c r="A890" s="216"/>
      <c r="B890" s="353"/>
      <c r="C890" s="217"/>
      <c r="D890" s="218"/>
      <c r="E890" s="217" t="s">
        <v>574</v>
      </c>
      <c r="F890" s="217" t="s">
        <v>519</v>
      </c>
      <c r="G890" s="218"/>
      <c r="H890" s="208" t="s">
        <v>520</v>
      </c>
      <c r="I890" s="217"/>
      <c r="J890" s="238"/>
      <c r="K890" s="217"/>
      <c r="L890" s="217"/>
      <c r="M890" s="494"/>
      <c r="N890" s="535"/>
      <c r="O890" s="221"/>
      <c r="P890" s="220"/>
      <c r="Q890" s="381"/>
      <c r="R890" s="222">
        <f t="shared" ref="R890:R896" si="34">SUM(S890,T890,U890,V890)</f>
        <v>0</v>
      </c>
      <c r="S890" s="222"/>
      <c r="T890" s="222"/>
      <c r="U890" s="222"/>
      <c r="V890" s="222"/>
    </row>
    <row r="891" spans="1:22" ht="15.6" outlineLevel="1" x14ac:dyDescent="0.3">
      <c r="A891" s="216"/>
      <c r="B891" s="353"/>
      <c r="C891" s="217"/>
      <c r="D891" s="218"/>
      <c r="E891" s="217" t="s">
        <v>574</v>
      </c>
      <c r="F891" s="217" t="s">
        <v>519</v>
      </c>
      <c r="G891" s="218"/>
      <c r="H891" s="208" t="s">
        <v>520</v>
      </c>
      <c r="I891" s="217"/>
      <c r="J891" s="238"/>
      <c r="K891" s="217"/>
      <c r="L891" s="217"/>
      <c r="M891" s="494"/>
      <c r="N891" s="535"/>
      <c r="O891" s="221"/>
      <c r="P891" s="220"/>
      <c r="Q891" s="381"/>
      <c r="R891" s="222">
        <f t="shared" si="34"/>
        <v>0</v>
      </c>
      <c r="S891" s="222"/>
      <c r="T891" s="222"/>
      <c r="U891" s="222"/>
      <c r="V891" s="222"/>
    </row>
    <row r="892" spans="1:22" ht="15.6" outlineLevel="1" x14ac:dyDescent="0.3">
      <c r="A892" s="216"/>
      <c r="B892" s="353"/>
      <c r="C892" s="217"/>
      <c r="D892" s="218"/>
      <c r="E892" s="217" t="s">
        <v>574</v>
      </c>
      <c r="F892" s="217" t="s">
        <v>519</v>
      </c>
      <c r="G892" s="218"/>
      <c r="H892" s="208" t="s">
        <v>520</v>
      </c>
      <c r="I892" s="217"/>
      <c r="J892" s="238"/>
      <c r="K892" s="217"/>
      <c r="L892" s="217"/>
      <c r="M892" s="494"/>
      <c r="N892" s="535"/>
      <c r="O892" s="221"/>
      <c r="P892" s="220"/>
      <c r="Q892" s="381"/>
      <c r="R892" s="222">
        <f t="shared" si="34"/>
        <v>0</v>
      </c>
      <c r="S892" s="222"/>
      <c r="T892" s="222"/>
      <c r="U892" s="222"/>
      <c r="V892" s="222"/>
    </row>
    <row r="893" spans="1:22" ht="15.6" outlineLevel="1" x14ac:dyDescent="0.3">
      <c r="A893" s="216"/>
      <c r="B893" s="353"/>
      <c r="C893" s="217"/>
      <c r="D893" s="218"/>
      <c r="E893" s="217" t="s">
        <v>574</v>
      </c>
      <c r="F893" s="217" t="s">
        <v>519</v>
      </c>
      <c r="G893" s="218"/>
      <c r="H893" s="208" t="s">
        <v>520</v>
      </c>
      <c r="I893" s="217"/>
      <c r="J893" s="238"/>
      <c r="K893" s="217"/>
      <c r="L893" s="217"/>
      <c r="M893" s="494"/>
      <c r="N893" s="535"/>
      <c r="O893" s="221"/>
      <c r="P893" s="220"/>
      <c r="Q893" s="381"/>
      <c r="R893" s="222">
        <f t="shared" si="34"/>
        <v>0</v>
      </c>
      <c r="S893" s="222"/>
      <c r="T893" s="222"/>
      <c r="U893" s="222"/>
      <c r="V893" s="222"/>
    </row>
    <row r="894" spans="1:22" ht="15.6" outlineLevel="1" x14ac:dyDescent="0.3">
      <c r="A894" s="216"/>
      <c r="B894" s="353"/>
      <c r="C894" s="217"/>
      <c r="D894" s="218"/>
      <c r="E894" s="217" t="s">
        <v>737</v>
      </c>
      <c r="F894" s="217" t="s">
        <v>519</v>
      </c>
      <c r="G894" s="218"/>
      <c r="H894" s="208" t="s">
        <v>520</v>
      </c>
      <c r="I894" s="217"/>
      <c r="J894" s="238"/>
      <c r="K894" s="217"/>
      <c r="L894" s="217"/>
      <c r="M894" s="494"/>
      <c r="N894" s="535"/>
      <c r="O894" s="221"/>
      <c r="P894" s="220"/>
      <c r="Q894" s="381"/>
      <c r="R894" s="222">
        <f t="shared" si="34"/>
        <v>0</v>
      </c>
      <c r="S894" s="222"/>
      <c r="T894" s="222"/>
      <c r="U894" s="222"/>
      <c r="V894" s="222"/>
    </row>
    <row r="895" spans="1:22" ht="15.6" outlineLevel="1" x14ac:dyDescent="0.3">
      <c r="A895" s="216"/>
      <c r="B895" s="353"/>
      <c r="C895" s="217"/>
      <c r="D895" s="218"/>
      <c r="E895" s="217" t="s">
        <v>737</v>
      </c>
      <c r="F895" s="217" t="s">
        <v>519</v>
      </c>
      <c r="G895" s="218"/>
      <c r="H895" s="208" t="s">
        <v>520</v>
      </c>
      <c r="I895" s="217"/>
      <c r="J895" s="238"/>
      <c r="K895" s="217"/>
      <c r="L895" s="217"/>
      <c r="M895" s="494"/>
      <c r="N895" s="535"/>
      <c r="O895" s="221"/>
      <c r="P895" s="220"/>
      <c r="Q895" s="381"/>
      <c r="R895" s="222">
        <f t="shared" si="34"/>
        <v>0</v>
      </c>
      <c r="S895" s="222"/>
      <c r="T895" s="222"/>
      <c r="U895" s="222"/>
      <c r="V895" s="222"/>
    </row>
    <row r="896" spans="1:22" ht="15.6" outlineLevel="1" x14ac:dyDescent="0.3">
      <c r="A896" s="216"/>
      <c r="B896" s="353"/>
      <c r="C896" s="217"/>
      <c r="D896" s="218"/>
      <c r="E896" s="217" t="s">
        <v>574</v>
      </c>
      <c r="F896" s="217" t="s">
        <v>519</v>
      </c>
      <c r="G896" s="218"/>
      <c r="H896" s="208" t="s">
        <v>520</v>
      </c>
      <c r="I896" s="217"/>
      <c r="J896" s="238"/>
      <c r="K896" s="217"/>
      <c r="L896" s="217"/>
      <c r="M896" s="494"/>
      <c r="N896" s="535"/>
      <c r="O896" s="221"/>
      <c r="P896" s="220"/>
      <c r="Q896" s="381"/>
      <c r="R896" s="222">
        <f t="shared" si="34"/>
        <v>0</v>
      </c>
      <c r="S896" s="222"/>
      <c r="T896" s="222"/>
      <c r="U896" s="222"/>
      <c r="V896" s="222"/>
    </row>
    <row r="897" spans="1:22" ht="15.6" outlineLevel="1" x14ac:dyDescent="0.3">
      <c r="A897" s="216"/>
      <c r="B897" s="353"/>
      <c r="C897" s="217"/>
      <c r="D897" s="218"/>
      <c r="E897" s="217" t="s">
        <v>574</v>
      </c>
      <c r="F897" s="217" t="s">
        <v>519</v>
      </c>
      <c r="G897" s="218"/>
      <c r="H897" s="208" t="s">
        <v>520</v>
      </c>
      <c r="I897" s="217"/>
      <c r="J897" s="238"/>
      <c r="K897" s="217"/>
      <c r="L897" s="217"/>
      <c r="M897" s="494"/>
      <c r="N897" s="535"/>
      <c r="O897" s="221"/>
      <c r="P897" s="220"/>
      <c r="Q897" s="381"/>
      <c r="R897" s="222">
        <f t="shared" ref="R897:R913" si="35">SUM(S897,T897,U897,V897)</f>
        <v>0</v>
      </c>
      <c r="S897" s="222"/>
      <c r="T897" s="222"/>
      <c r="U897" s="222"/>
      <c r="V897" s="222"/>
    </row>
    <row r="898" spans="1:22" ht="15.6" outlineLevel="1" x14ac:dyDescent="0.3">
      <c r="A898" s="216"/>
      <c r="B898" s="353"/>
      <c r="C898" s="217"/>
      <c r="D898" s="218"/>
      <c r="E898" s="217" t="s">
        <v>574</v>
      </c>
      <c r="F898" s="217" t="s">
        <v>519</v>
      </c>
      <c r="G898" s="218"/>
      <c r="H898" s="208" t="s">
        <v>520</v>
      </c>
      <c r="I898" s="217"/>
      <c r="J898" s="238"/>
      <c r="K898" s="217"/>
      <c r="L898" s="217"/>
      <c r="M898" s="494"/>
      <c r="N898" s="535"/>
      <c r="O898" s="221"/>
      <c r="P898" s="220"/>
      <c r="Q898" s="381"/>
      <c r="R898" s="222">
        <f t="shared" si="35"/>
        <v>0</v>
      </c>
      <c r="S898" s="222"/>
      <c r="T898" s="222"/>
      <c r="U898" s="222"/>
      <c r="V898" s="222"/>
    </row>
    <row r="899" spans="1:22" ht="15.6" outlineLevel="1" x14ac:dyDescent="0.3">
      <c r="A899" s="216"/>
      <c r="B899" s="353"/>
      <c r="C899" s="217"/>
      <c r="D899" s="218"/>
      <c r="E899" s="217" t="s">
        <v>574</v>
      </c>
      <c r="F899" s="217" t="s">
        <v>519</v>
      </c>
      <c r="G899" s="218"/>
      <c r="H899" s="208" t="s">
        <v>520</v>
      </c>
      <c r="I899" s="217"/>
      <c r="J899" s="238"/>
      <c r="K899" s="217"/>
      <c r="L899" s="217"/>
      <c r="M899" s="494"/>
      <c r="N899" s="535"/>
      <c r="O899" s="221"/>
      <c r="P899" s="220"/>
      <c r="Q899" s="381"/>
      <c r="R899" s="222">
        <f t="shared" si="35"/>
        <v>0</v>
      </c>
      <c r="S899" s="222"/>
      <c r="T899" s="222"/>
      <c r="U899" s="222"/>
      <c r="V899" s="222"/>
    </row>
    <row r="900" spans="1:22" ht="15.6" outlineLevel="1" x14ac:dyDescent="0.3">
      <c r="A900" s="216"/>
      <c r="B900" s="353"/>
      <c r="C900" s="217"/>
      <c r="D900" s="218"/>
      <c r="E900" s="217" t="s">
        <v>574</v>
      </c>
      <c r="F900" s="217" t="s">
        <v>519</v>
      </c>
      <c r="G900" s="218"/>
      <c r="H900" s="208" t="s">
        <v>520</v>
      </c>
      <c r="I900" s="217"/>
      <c r="J900" s="238"/>
      <c r="K900" s="217"/>
      <c r="L900" s="217"/>
      <c r="M900" s="494"/>
      <c r="N900" s="535"/>
      <c r="O900" s="221"/>
      <c r="P900" s="220"/>
      <c r="Q900" s="381"/>
      <c r="R900" s="222">
        <f t="shared" si="35"/>
        <v>0</v>
      </c>
      <c r="S900" s="222"/>
      <c r="T900" s="222"/>
      <c r="U900" s="222"/>
      <c r="V900" s="222"/>
    </row>
    <row r="901" spans="1:22" ht="15.6" outlineLevel="1" x14ac:dyDescent="0.3">
      <c r="A901" s="216"/>
      <c r="B901" s="353"/>
      <c r="C901" s="217"/>
      <c r="D901" s="218"/>
      <c r="E901" s="217" t="s">
        <v>740</v>
      </c>
      <c r="F901" s="217" t="s">
        <v>519</v>
      </c>
      <c r="G901" s="218"/>
      <c r="H901" s="208" t="s">
        <v>520</v>
      </c>
      <c r="I901" s="217"/>
      <c r="J901" s="238"/>
      <c r="K901" s="217"/>
      <c r="L901" s="217"/>
      <c r="M901" s="494"/>
      <c r="N901" s="535"/>
      <c r="O901" s="221"/>
      <c r="P901" s="220"/>
      <c r="Q901" s="381"/>
      <c r="R901" s="222">
        <f t="shared" si="35"/>
        <v>0</v>
      </c>
      <c r="S901" s="222"/>
      <c r="T901" s="222"/>
      <c r="U901" s="222"/>
      <c r="V901" s="222"/>
    </row>
    <row r="902" spans="1:22" ht="15.6" outlineLevel="1" x14ac:dyDescent="0.3">
      <c r="A902" s="216"/>
      <c r="B902" s="353"/>
      <c r="C902" s="217"/>
      <c r="D902" s="218"/>
      <c r="E902" s="217" t="s">
        <v>574</v>
      </c>
      <c r="F902" s="217" t="s">
        <v>519</v>
      </c>
      <c r="G902" s="218"/>
      <c r="H902" s="208" t="s">
        <v>520</v>
      </c>
      <c r="I902" s="217"/>
      <c r="J902" s="238"/>
      <c r="K902" s="217"/>
      <c r="L902" s="217"/>
      <c r="M902" s="494"/>
      <c r="N902" s="535"/>
      <c r="O902" s="221"/>
      <c r="P902" s="220"/>
      <c r="Q902" s="381"/>
      <c r="R902" s="222">
        <f t="shared" si="35"/>
        <v>0</v>
      </c>
      <c r="S902" s="222"/>
      <c r="T902" s="222"/>
      <c r="U902" s="222"/>
      <c r="V902" s="222"/>
    </row>
    <row r="903" spans="1:22" ht="15.6" outlineLevel="1" x14ac:dyDescent="0.3">
      <c r="A903" s="216"/>
      <c r="B903" s="353"/>
      <c r="C903" s="217"/>
      <c r="D903" s="218"/>
      <c r="E903" s="217" t="s">
        <v>574</v>
      </c>
      <c r="F903" s="217" t="s">
        <v>519</v>
      </c>
      <c r="G903" s="218"/>
      <c r="H903" s="208" t="s">
        <v>520</v>
      </c>
      <c r="I903" s="217"/>
      <c r="J903" s="238"/>
      <c r="K903" s="217"/>
      <c r="L903" s="217"/>
      <c r="M903" s="494"/>
      <c r="N903" s="535"/>
      <c r="O903" s="221"/>
      <c r="P903" s="220"/>
      <c r="Q903" s="381"/>
      <c r="R903" s="222">
        <f t="shared" si="35"/>
        <v>0</v>
      </c>
      <c r="S903" s="222"/>
      <c r="T903" s="222"/>
      <c r="U903" s="222"/>
      <c r="V903" s="222"/>
    </row>
    <row r="904" spans="1:22" ht="15.6" outlineLevel="1" x14ac:dyDescent="0.3">
      <c r="A904" s="216"/>
      <c r="B904" s="353"/>
      <c r="C904" s="217"/>
      <c r="D904" s="218"/>
      <c r="E904" s="217" t="s">
        <v>574</v>
      </c>
      <c r="F904" s="217" t="s">
        <v>519</v>
      </c>
      <c r="G904" s="218"/>
      <c r="H904" s="208" t="s">
        <v>520</v>
      </c>
      <c r="I904" s="217"/>
      <c r="J904" s="238"/>
      <c r="K904" s="217"/>
      <c r="L904" s="217"/>
      <c r="M904" s="494"/>
      <c r="N904" s="535"/>
      <c r="O904" s="221"/>
      <c r="P904" s="220"/>
      <c r="Q904" s="381"/>
      <c r="R904" s="222">
        <f t="shared" si="35"/>
        <v>0</v>
      </c>
      <c r="S904" s="222"/>
      <c r="T904" s="222"/>
      <c r="U904" s="222"/>
      <c r="V904" s="222"/>
    </row>
    <row r="905" spans="1:22" ht="15.6" outlineLevel="1" x14ac:dyDescent="0.3">
      <c r="A905" s="216"/>
      <c r="B905" s="353"/>
      <c r="C905" s="217"/>
      <c r="D905" s="218"/>
      <c r="E905" s="217" t="s">
        <v>574</v>
      </c>
      <c r="F905" s="217" t="s">
        <v>519</v>
      </c>
      <c r="G905" s="218"/>
      <c r="H905" s="208" t="s">
        <v>520</v>
      </c>
      <c r="I905" s="217"/>
      <c r="J905" s="238"/>
      <c r="K905" s="217"/>
      <c r="L905" s="217"/>
      <c r="M905" s="494"/>
      <c r="N905" s="535"/>
      <c r="O905" s="221"/>
      <c r="P905" s="220"/>
      <c r="Q905" s="381"/>
      <c r="R905" s="222">
        <f t="shared" si="35"/>
        <v>0</v>
      </c>
      <c r="S905" s="222"/>
      <c r="T905" s="222"/>
      <c r="U905" s="222"/>
      <c r="V905" s="222"/>
    </row>
    <row r="906" spans="1:22" ht="15.6" outlineLevel="1" x14ac:dyDescent="0.3">
      <c r="A906" s="216"/>
      <c r="B906" s="353"/>
      <c r="C906" s="217"/>
      <c r="D906" s="218"/>
      <c r="E906" s="217" t="s">
        <v>574</v>
      </c>
      <c r="F906" s="217" t="s">
        <v>519</v>
      </c>
      <c r="G906" s="218"/>
      <c r="H906" s="208" t="s">
        <v>520</v>
      </c>
      <c r="I906" s="217"/>
      <c r="J906" s="238"/>
      <c r="K906" s="217"/>
      <c r="L906" s="217"/>
      <c r="M906" s="494"/>
      <c r="N906" s="535"/>
      <c r="O906" s="221"/>
      <c r="P906" s="220"/>
      <c r="Q906" s="381"/>
      <c r="R906" s="222">
        <f t="shared" si="35"/>
        <v>0</v>
      </c>
      <c r="S906" s="222"/>
      <c r="T906" s="222"/>
      <c r="U906" s="222"/>
      <c r="V906" s="222"/>
    </row>
    <row r="907" spans="1:22" ht="15.6" outlineLevel="1" x14ac:dyDescent="0.3">
      <c r="A907" s="216"/>
      <c r="B907" s="353"/>
      <c r="C907" s="217"/>
      <c r="D907" s="218"/>
      <c r="E907" s="217" t="s">
        <v>574</v>
      </c>
      <c r="F907" s="217" t="s">
        <v>519</v>
      </c>
      <c r="G907" s="218"/>
      <c r="H907" s="208" t="s">
        <v>520</v>
      </c>
      <c r="I907" s="217"/>
      <c r="J907" s="238"/>
      <c r="K907" s="217"/>
      <c r="L907" s="217"/>
      <c r="M907" s="494"/>
      <c r="N907" s="535"/>
      <c r="O907" s="221"/>
      <c r="P907" s="220"/>
      <c r="Q907" s="381"/>
      <c r="R907" s="222">
        <f t="shared" si="35"/>
        <v>0</v>
      </c>
      <c r="S907" s="222"/>
      <c r="T907" s="222"/>
      <c r="U907" s="222"/>
      <c r="V907" s="222"/>
    </row>
    <row r="908" spans="1:22" ht="15.6" outlineLevel="1" x14ac:dyDescent="0.3">
      <c r="A908" s="216"/>
      <c r="B908" s="353"/>
      <c r="C908" s="217"/>
      <c r="D908" s="218"/>
      <c r="E908" s="217" t="s">
        <v>574</v>
      </c>
      <c r="F908" s="217" t="s">
        <v>519</v>
      </c>
      <c r="G908" s="218"/>
      <c r="H908" s="208" t="s">
        <v>520</v>
      </c>
      <c r="I908" s="217"/>
      <c r="J908" s="238"/>
      <c r="K908" s="217"/>
      <c r="L908" s="217"/>
      <c r="M908" s="494"/>
      <c r="N908" s="535"/>
      <c r="O908" s="221"/>
      <c r="P908" s="220"/>
      <c r="Q908" s="381"/>
      <c r="R908" s="222">
        <f t="shared" si="35"/>
        <v>0</v>
      </c>
      <c r="S908" s="222"/>
      <c r="T908" s="222"/>
      <c r="U908" s="222"/>
      <c r="V908" s="222"/>
    </row>
    <row r="909" spans="1:22" ht="15.6" outlineLevel="1" x14ac:dyDescent="0.3">
      <c r="A909" s="216"/>
      <c r="B909" s="353"/>
      <c r="C909" s="217"/>
      <c r="D909" s="218"/>
      <c r="E909" s="217" t="s">
        <v>574</v>
      </c>
      <c r="F909" s="217" t="s">
        <v>519</v>
      </c>
      <c r="G909" s="218"/>
      <c r="H909" s="208" t="s">
        <v>520</v>
      </c>
      <c r="I909" s="217"/>
      <c r="J909" s="238"/>
      <c r="K909" s="217"/>
      <c r="L909" s="217"/>
      <c r="M909" s="494"/>
      <c r="N909" s="535"/>
      <c r="O909" s="221"/>
      <c r="P909" s="220"/>
      <c r="Q909" s="381"/>
      <c r="R909" s="222">
        <f t="shared" si="35"/>
        <v>0</v>
      </c>
      <c r="S909" s="222"/>
      <c r="T909" s="222"/>
      <c r="U909" s="222"/>
      <c r="V909" s="222"/>
    </row>
    <row r="910" spans="1:22" ht="15.6" outlineLevel="1" x14ac:dyDescent="0.3">
      <c r="A910" s="216"/>
      <c r="B910" s="353"/>
      <c r="C910" s="217"/>
      <c r="D910" s="218"/>
      <c r="E910" s="217" t="s">
        <v>574</v>
      </c>
      <c r="F910" s="217" t="s">
        <v>519</v>
      </c>
      <c r="G910" s="218"/>
      <c r="H910" s="208" t="s">
        <v>520</v>
      </c>
      <c r="I910" s="217"/>
      <c r="J910" s="238"/>
      <c r="K910" s="217"/>
      <c r="L910" s="217"/>
      <c r="M910" s="494"/>
      <c r="N910" s="535"/>
      <c r="O910" s="221"/>
      <c r="P910" s="220"/>
      <c r="Q910" s="381"/>
      <c r="R910" s="222">
        <f t="shared" si="35"/>
        <v>0</v>
      </c>
      <c r="S910" s="222"/>
      <c r="T910" s="222"/>
      <c r="U910" s="222"/>
      <c r="V910" s="222"/>
    </row>
    <row r="911" spans="1:22" ht="15.6" outlineLevel="1" x14ac:dyDescent="0.3">
      <c r="A911" s="216"/>
      <c r="B911" s="353"/>
      <c r="C911" s="217"/>
      <c r="D911" s="218"/>
      <c r="E911" s="217" t="s">
        <v>574</v>
      </c>
      <c r="F911" s="217" t="s">
        <v>519</v>
      </c>
      <c r="G911" s="218"/>
      <c r="H911" s="208" t="s">
        <v>520</v>
      </c>
      <c r="I911" s="217"/>
      <c r="J911" s="238"/>
      <c r="K911" s="217"/>
      <c r="L911" s="217"/>
      <c r="M911" s="494"/>
      <c r="N911" s="535"/>
      <c r="O911" s="221"/>
      <c r="P911" s="220"/>
      <c r="Q911" s="381"/>
      <c r="R911" s="222">
        <f t="shared" si="35"/>
        <v>0</v>
      </c>
      <c r="S911" s="222"/>
      <c r="T911" s="222"/>
      <c r="U911" s="222"/>
      <c r="V911" s="222"/>
    </row>
    <row r="912" spans="1:22" ht="15.6" outlineLevel="1" x14ac:dyDescent="0.3">
      <c r="A912" s="216"/>
      <c r="B912" s="353"/>
      <c r="C912" s="217"/>
      <c r="D912" s="218"/>
      <c r="E912" s="217" t="s">
        <v>574</v>
      </c>
      <c r="F912" s="217" t="s">
        <v>519</v>
      </c>
      <c r="G912" s="218"/>
      <c r="H912" s="208" t="s">
        <v>520</v>
      </c>
      <c r="I912" s="217"/>
      <c r="J912" s="238"/>
      <c r="K912" s="217"/>
      <c r="L912" s="217"/>
      <c r="M912" s="494"/>
      <c r="N912" s="535"/>
      <c r="O912" s="221"/>
      <c r="P912" s="220"/>
      <c r="Q912" s="381"/>
      <c r="R912" s="222">
        <f t="shared" si="35"/>
        <v>0</v>
      </c>
      <c r="S912" s="222"/>
      <c r="T912" s="222"/>
      <c r="U912" s="222"/>
      <c r="V912" s="222"/>
    </row>
    <row r="913" spans="1:30" ht="15.6" outlineLevel="1" x14ac:dyDescent="0.3">
      <c r="A913" s="216"/>
      <c r="B913" s="353"/>
      <c r="C913" s="217"/>
      <c r="D913" s="218"/>
      <c r="E913" s="217" t="s">
        <v>574</v>
      </c>
      <c r="F913" s="217" t="s">
        <v>519</v>
      </c>
      <c r="G913" s="218"/>
      <c r="H913" s="208" t="s">
        <v>520</v>
      </c>
      <c r="I913" s="217"/>
      <c r="J913" s="238"/>
      <c r="K913" s="217"/>
      <c r="L913" s="217"/>
      <c r="M913" s="494"/>
      <c r="N913" s="535"/>
      <c r="O913" s="221"/>
      <c r="P913" s="220"/>
      <c r="Q913" s="381"/>
      <c r="R913" s="222">
        <f t="shared" si="35"/>
        <v>0</v>
      </c>
      <c r="S913" s="222"/>
      <c r="T913" s="222"/>
      <c r="U913" s="222"/>
      <c r="V913" s="222"/>
    </row>
    <row r="914" spans="1:30" ht="16.2" x14ac:dyDescent="0.35">
      <c r="A914" s="231" t="s">
        <v>676</v>
      </c>
      <c r="B914" s="232"/>
      <c r="C914" s="232"/>
      <c r="D914" s="232"/>
      <c r="E914" s="232"/>
      <c r="F914" s="258"/>
      <c r="G914" s="259"/>
      <c r="H914" s="232"/>
      <c r="I914" s="260"/>
      <c r="J914" s="258"/>
      <c r="K914" s="232"/>
      <c r="L914" s="232"/>
      <c r="M914" s="495"/>
      <c r="N914" s="536" t="s">
        <v>249</v>
      </c>
      <c r="O914" s="350">
        <v>244</v>
      </c>
      <c r="P914" s="351">
        <v>346</v>
      </c>
      <c r="Q914" s="386"/>
      <c r="R914" s="229">
        <f>SUM(R915:R949)</f>
        <v>0</v>
      </c>
      <c r="S914" s="229">
        <f>SUM(S915:S949)</f>
        <v>0</v>
      </c>
      <c r="T914" s="229">
        <f>SUM(T915:T949)</f>
        <v>0</v>
      </c>
      <c r="U914" s="229">
        <f>SUM(U915:U949)</f>
        <v>0</v>
      </c>
      <c r="V914" s="229">
        <f>SUM(V915:V949)</f>
        <v>0</v>
      </c>
    </row>
    <row r="915" spans="1:30" s="283" customFormat="1" ht="15.6" outlineLevel="1" x14ac:dyDescent="0.3">
      <c r="A915" s="216"/>
      <c r="B915" s="610"/>
      <c r="C915" s="252"/>
      <c r="D915" s="218"/>
      <c r="E915" s="217" t="s">
        <v>574</v>
      </c>
      <c r="F915" s="280" t="s">
        <v>519</v>
      </c>
      <c r="G915" s="218"/>
      <c r="H915" s="208" t="s">
        <v>520</v>
      </c>
      <c r="I915" s="238"/>
      <c r="J915" s="217"/>
      <c r="K915" s="217"/>
      <c r="L915" s="217"/>
      <c r="M915" s="494"/>
      <c r="N915" s="535"/>
      <c r="O915" s="221"/>
      <c r="P915" s="220"/>
      <c r="Q915" s="381"/>
      <c r="R915" s="222">
        <f t="shared" ref="R915:R929" si="36">SUM(S915,T915,U915,V915)</f>
        <v>0</v>
      </c>
      <c r="S915" s="222"/>
      <c r="T915" s="222"/>
      <c r="U915" s="222"/>
      <c r="V915" s="222"/>
      <c r="AC915" s="414"/>
      <c r="AD915" s="471"/>
    </row>
    <row r="916" spans="1:30" ht="15.6" outlineLevel="1" x14ac:dyDescent="0.3">
      <c r="A916" s="216"/>
      <c r="B916" s="611"/>
      <c r="C916" s="252"/>
      <c r="D916" s="218"/>
      <c r="E916" s="217" t="s">
        <v>574</v>
      </c>
      <c r="F916" s="280" t="s">
        <v>519</v>
      </c>
      <c r="G916" s="218"/>
      <c r="H916" s="208" t="s">
        <v>520</v>
      </c>
      <c r="I916" s="238"/>
      <c r="J916" s="217"/>
      <c r="K916" s="217"/>
      <c r="L916" s="217"/>
      <c r="M916" s="494"/>
      <c r="N916" s="535"/>
      <c r="O916" s="221"/>
      <c r="P916" s="220"/>
      <c r="Q916" s="381"/>
      <c r="R916" s="222">
        <f t="shared" si="36"/>
        <v>0</v>
      </c>
      <c r="S916" s="222"/>
      <c r="T916" s="222"/>
      <c r="U916" s="222"/>
      <c r="V916" s="222"/>
    </row>
    <row r="917" spans="1:30" ht="15.6" outlineLevel="1" x14ac:dyDescent="0.3">
      <c r="A917" s="216"/>
      <c r="B917" s="611"/>
      <c r="C917" s="252"/>
      <c r="D917" s="218"/>
      <c r="E917" s="217" t="s">
        <v>574</v>
      </c>
      <c r="F917" s="217" t="s">
        <v>519</v>
      </c>
      <c r="G917" s="218"/>
      <c r="H917" s="208" t="s">
        <v>520</v>
      </c>
      <c r="I917" s="217"/>
      <c r="J917" s="238"/>
      <c r="K917" s="217"/>
      <c r="L917" s="217"/>
      <c r="M917" s="494"/>
      <c r="N917" s="535"/>
      <c r="O917" s="221"/>
      <c r="P917" s="220"/>
      <c r="Q917" s="381"/>
      <c r="R917" s="222">
        <f t="shared" si="36"/>
        <v>0</v>
      </c>
      <c r="S917" s="222"/>
      <c r="T917" s="222"/>
      <c r="U917" s="222"/>
      <c r="V917" s="222"/>
    </row>
    <row r="918" spans="1:30" ht="15.6" outlineLevel="1" x14ac:dyDescent="0.3">
      <c r="A918" s="216"/>
      <c r="B918" s="611"/>
      <c r="C918" s="252"/>
      <c r="D918" s="218"/>
      <c r="E918" s="217" t="s">
        <v>813</v>
      </c>
      <c r="F918" s="217" t="s">
        <v>519</v>
      </c>
      <c r="G918" s="218"/>
      <c r="H918" s="208" t="s">
        <v>520</v>
      </c>
      <c r="I918" s="217"/>
      <c r="J918" s="238"/>
      <c r="K918" s="217"/>
      <c r="L918" s="217"/>
      <c r="M918" s="494"/>
      <c r="N918" s="535"/>
      <c r="O918" s="221"/>
      <c r="P918" s="220"/>
      <c r="Q918" s="381"/>
      <c r="R918" s="222">
        <f t="shared" si="36"/>
        <v>0</v>
      </c>
      <c r="S918" s="222"/>
      <c r="T918" s="222"/>
      <c r="U918" s="222"/>
      <c r="V918" s="222"/>
    </row>
    <row r="919" spans="1:30" ht="15.6" outlineLevel="1" x14ac:dyDescent="0.3">
      <c r="A919" s="216"/>
      <c r="B919" s="611"/>
      <c r="C919" s="252"/>
      <c r="D919" s="218"/>
      <c r="E919" s="217" t="s">
        <v>574</v>
      </c>
      <c r="F919" s="217" t="s">
        <v>519</v>
      </c>
      <c r="G919" s="218"/>
      <c r="H919" s="208" t="s">
        <v>520</v>
      </c>
      <c r="I919" s="217"/>
      <c r="J919" s="238"/>
      <c r="K919" s="217"/>
      <c r="L919" s="217"/>
      <c r="M919" s="494"/>
      <c r="N919" s="535"/>
      <c r="O919" s="221"/>
      <c r="P919" s="220"/>
      <c r="Q919" s="381"/>
      <c r="R919" s="222">
        <f t="shared" si="36"/>
        <v>0</v>
      </c>
      <c r="S919" s="222"/>
      <c r="T919" s="222"/>
      <c r="U919" s="222"/>
      <c r="V919" s="222"/>
    </row>
    <row r="920" spans="1:30" ht="15.6" outlineLevel="1" x14ac:dyDescent="0.3">
      <c r="A920" s="216"/>
      <c r="B920" s="611"/>
      <c r="C920" s="252"/>
      <c r="D920" s="218"/>
      <c r="E920" s="217" t="s">
        <v>574</v>
      </c>
      <c r="F920" s="217" t="s">
        <v>519</v>
      </c>
      <c r="G920" s="218"/>
      <c r="H920" s="208" t="s">
        <v>520</v>
      </c>
      <c r="I920" s="217"/>
      <c r="J920" s="238"/>
      <c r="K920" s="217"/>
      <c r="L920" s="217"/>
      <c r="M920" s="494"/>
      <c r="N920" s="535"/>
      <c r="O920" s="221"/>
      <c r="P920" s="220"/>
      <c r="Q920" s="381"/>
      <c r="R920" s="222">
        <f t="shared" si="36"/>
        <v>0</v>
      </c>
      <c r="S920" s="222"/>
      <c r="T920" s="222"/>
      <c r="U920" s="222"/>
      <c r="V920" s="222"/>
    </row>
    <row r="921" spans="1:30" ht="15.6" outlineLevel="1" x14ac:dyDescent="0.3">
      <c r="A921" s="216"/>
      <c r="B921" s="611"/>
      <c r="C921" s="252"/>
      <c r="D921" s="218"/>
      <c r="E921" s="217" t="s">
        <v>574</v>
      </c>
      <c r="F921" s="217" t="s">
        <v>519</v>
      </c>
      <c r="G921" s="218"/>
      <c r="H921" s="208" t="s">
        <v>520</v>
      </c>
      <c r="I921" s="217"/>
      <c r="J921" s="238"/>
      <c r="K921" s="217"/>
      <c r="L921" s="217"/>
      <c r="M921" s="494"/>
      <c r="N921" s="535"/>
      <c r="O921" s="221"/>
      <c r="P921" s="220"/>
      <c r="Q921" s="381"/>
      <c r="R921" s="222">
        <f t="shared" si="36"/>
        <v>0</v>
      </c>
      <c r="S921" s="222"/>
      <c r="T921" s="222"/>
      <c r="U921" s="222"/>
      <c r="V921" s="222"/>
    </row>
    <row r="922" spans="1:30" ht="15.6" outlineLevel="1" x14ac:dyDescent="0.3">
      <c r="A922" s="216"/>
      <c r="B922" s="611"/>
      <c r="C922" s="252"/>
      <c r="D922" s="218"/>
      <c r="E922" s="217" t="s">
        <v>574</v>
      </c>
      <c r="F922" s="217" t="s">
        <v>519</v>
      </c>
      <c r="G922" s="218"/>
      <c r="H922" s="208" t="s">
        <v>520</v>
      </c>
      <c r="I922" s="217"/>
      <c r="J922" s="238"/>
      <c r="K922" s="217"/>
      <c r="L922" s="217"/>
      <c r="M922" s="494"/>
      <c r="N922" s="535"/>
      <c r="O922" s="221"/>
      <c r="P922" s="220"/>
      <c r="Q922" s="381"/>
      <c r="R922" s="222">
        <f t="shared" si="36"/>
        <v>0</v>
      </c>
      <c r="S922" s="222"/>
      <c r="T922" s="222"/>
      <c r="U922" s="222"/>
      <c r="V922" s="222"/>
    </row>
    <row r="923" spans="1:30" ht="15.6" outlineLevel="1" x14ac:dyDescent="0.3">
      <c r="A923" s="216"/>
      <c r="B923" s="611"/>
      <c r="C923" s="252"/>
      <c r="D923" s="218"/>
      <c r="E923" s="217" t="s">
        <v>574</v>
      </c>
      <c r="F923" s="217" t="s">
        <v>519</v>
      </c>
      <c r="G923" s="218"/>
      <c r="H923" s="208" t="s">
        <v>520</v>
      </c>
      <c r="I923" s="217"/>
      <c r="J923" s="238"/>
      <c r="K923" s="217"/>
      <c r="L923" s="217"/>
      <c r="M923" s="494"/>
      <c r="N923" s="535"/>
      <c r="O923" s="221"/>
      <c r="P923" s="220"/>
      <c r="Q923" s="381"/>
      <c r="R923" s="222">
        <f t="shared" si="36"/>
        <v>0</v>
      </c>
      <c r="S923" s="222"/>
      <c r="T923" s="222"/>
      <c r="U923" s="222"/>
      <c r="V923" s="222"/>
    </row>
    <row r="924" spans="1:30" ht="15.6" outlineLevel="1" x14ac:dyDescent="0.3">
      <c r="A924" s="216"/>
      <c r="B924" s="353"/>
      <c r="C924" s="252"/>
      <c r="D924" s="218"/>
      <c r="E924" s="217" t="s">
        <v>574</v>
      </c>
      <c r="F924" s="217" t="s">
        <v>519</v>
      </c>
      <c r="G924" s="218"/>
      <c r="H924" s="208" t="s">
        <v>520</v>
      </c>
      <c r="I924" s="217"/>
      <c r="J924" s="238"/>
      <c r="K924" s="217"/>
      <c r="L924" s="217"/>
      <c r="M924" s="494"/>
      <c r="N924" s="535"/>
      <c r="O924" s="221"/>
      <c r="P924" s="220"/>
      <c r="Q924" s="381"/>
      <c r="R924" s="222">
        <f t="shared" si="36"/>
        <v>0</v>
      </c>
      <c r="S924" s="222"/>
      <c r="T924" s="222"/>
      <c r="U924" s="222"/>
      <c r="V924" s="222"/>
    </row>
    <row r="925" spans="1:30" ht="15.6" outlineLevel="1" x14ac:dyDescent="0.3">
      <c r="A925" s="216"/>
      <c r="B925" s="353"/>
      <c r="C925" s="252"/>
      <c r="D925" s="218"/>
      <c r="E925" s="217" t="s">
        <v>574</v>
      </c>
      <c r="F925" s="217" t="s">
        <v>519</v>
      </c>
      <c r="G925" s="218"/>
      <c r="H925" s="208" t="s">
        <v>520</v>
      </c>
      <c r="I925" s="217"/>
      <c r="J925" s="238"/>
      <c r="K925" s="217"/>
      <c r="L925" s="217"/>
      <c r="M925" s="494"/>
      <c r="N925" s="535"/>
      <c r="O925" s="221"/>
      <c r="P925" s="220"/>
      <c r="Q925" s="381"/>
      <c r="R925" s="222">
        <f t="shared" si="36"/>
        <v>0</v>
      </c>
      <c r="S925" s="222"/>
      <c r="T925" s="222"/>
      <c r="U925" s="222"/>
      <c r="V925" s="222"/>
    </row>
    <row r="926" spans="1:30" ht="15.6" outlineLevel="1" x14ac:dyDescent="0.3">
      <c r="A926" s="216"/>
      <c r="B926" s="353"/>
      <c r="C926" s="252"/>
      <c r="D926" s="218"/>
      <c r="E926" s="217" t="s">
        <v>740</v>
      </c>
      <c r="F926" s="217" t="s">
        <v>519</v>
      </c>
      <c r="G926" s="218"/>
      <c r="H926" s="208" t="s">
        <v>520</v>
      </c>
      <c r="I926" s="217"/>
      <c r="J926" s="238"/>
      <c r="K926" s="217"/>
      <c r="L926" s="217"/>
      <c r="M926" s="494"/>
      <c r="N926" s="535"/>
      <c r="O926" s="221"/>
      <c r="P926" s="220"/>
      <c r="Q926" s="381"/>
      <c r="R926" s="222">
        <f t="shared" si="36"/>
        <v>0</v>
      </c>
      <c r="S926" s="222"/>
      <c r="T926" s="222"/>
      <c r="U926" s="222"/>
      <c r="V926" s="222"/>
    </row>
    <row r="927" spans="1:30" ht="15.6" outlineLevel="1" x14ac:dyDescent="0.3">
      <c r="A927" s="216"/>
      <c r="B927" s="353"/>
      <c r="C927" s="252"/>
      <c r="D927" s="218"/>
      <c r="E927" s="217" t="s">
        <v>574</v>
      </c>
      <c r="F927" s="217" t="s">
        <v>519</v>
      </c>
      <c r="G927" s="218"/>
      <c r="H927" s="208" t="s">
        <v>520</v>
      </c>
      <c r="I927" s="217"/>
      <c r="J927" s="238"/>
      <c r="K927" s="217"/>
      <c r="L927" s="217"/>
      <c r="M927" s="494"/>
      <c r="N927" s="535"/>
      <c r="O927" s="221"/>
      <c r="P927" s="220"/>
      <c r="Q927" s="381"/>
      <c r="R927" s="222">
        <f t="shared" si="36"/>
        <v>0</v>
      </c>
      <c r="S927" s="222"/>
      <c r="T927" s="222"/>
      <c r="U927" s="222"/>
      <c r="V927" s="222"/>
    </row>
    <row r="928" spans="1:30" ht="15.6" outlineLevel="1" x14ac:dyDescent="0.3">
      <c r="A928" s="216"/>
      <c r="B928" s="353"/>
      <c r="C928" s="252"/>
      <c r="D928" s="218"/>
      <c r="E928" s="217" t="s">
        <v>574</v>
      </c>
      <c r="F928" s="217" t="s">
        <v>519</v>
      </c>
      <c r="G928" s="218"/>
      <c r="H928" s="208" t="s">
        <v>520</v>
      </c>
      <c r="I928" s="217"/>
      <c r="J928" s="238"/>
      <c r="K928" s="217"/>
      <c r="L928" s="217"/>
      <c r="M928" s="494"/>
      <c r="N928" s="535"/>
      <c r="O928" s="221"/>
      <c r="P928" s="220"/>
      <c r="Q928" s="381"/>
      <c r="R928" s="222">
        <f t="shared" si="36"/>
        <v>0</v>
      </c>
      <c r="S928" s="222"/>
      <c r="T928" s="222"/>
      <c r="U928" s="222"/>
      <c r="V928" s="222"/>
    </row>
    <row r="929" spans="1:22" ht="15.6" outlineLevel="1" x14ac:dyDescent="0.3">
      <c r="A929" s="216"/>
      <c r="B929" s="353"/>
      <c r="C929" s="252"/>
      <c r="D929" s="218"/>
      <c r="E929" s="217" t="s">
        <v>574</v>
      </c>
      <c r="F929" s="217" t="s">
        <v>519</v>
      </c>
      <c r="G929" s="218"/>
      <c r="H929" s="208" t="s">
        <v>520</v>
      </c>
      <c r="I929" s="217"/>
      <c r="J929" s="238"/>
      <c r="K929" s="217"/>
      <c r="L929" s="217"/>
      <c r="M929" s="494"/>
      <c r="N929" s="535"/>
      <c r="O929" s="221"/>
      <c r="P929" s="220"/>
      <c r="Q929" s="381"/>
      <c r="R929" s="222">
        <f t="shared" si="36"/>
        <v>0</v>
      </c>
      <c r="S929" s="222"/>
      <c r="T929" s="222"/>
      <c r="U929" s="222"/>
      <c r="V929" s="222"/>
    </row>
    <row r="930" spans="1:22" ht="15.6" outlineLevel="1" x14ac:dyDescent="0.3">
      <c r="A930" s="216"/>
      <c r="B930" s="353"/>
      <c r="C930" s="252"/>
      <c r="D930" s="218"/>
      <c r="E930" s="217" t="s">
        <v>574</v>
      </c>
      <c r="F930" s="217" t="s">
        <v>519</v>
      </c>
      <c r="G930" s="218"/>
      <c r="H930" s="208" t="s">
        <v>520</v>
      </c>
      <c r="I930" s="217"/>
      <c r="J930" s="238"/>
      <c r="K930" s="217"/>
      <c r="L930" s="217"/>
      <c r="M930" s="494"/>
      <c r="N930" s="535"/>
      <c r="O930" s="221"/>
      <c r="P930" s="220"/>
      <c r="Q930" s="381"/>
      <c r="R930" s="222">
        <f t="shared" ref="R930:R939" si="37">SUM(S930,T930,U930,V930)</f>
        <v>0</v>
      </c>
      <c r="S930" s="222"/>
      <c r="T930" s="222"/>
      <c r="U930" s="222"/>
      <c r="V930" s="222"/>
    </row>
    <row r="931" spans="1:22" ht="15.6" outlineLevel="1" x14ac:dyDescent="0.3">
      <c r="A931" s="216"/>
      <c r="B931" s="353"/>
      <c r="C931" s="252"/>
      <c r="D931" s="218"/>
      <c r="E931" s="217" t="s">
        <v>574</v>
      </c>
      <c r="F931" s="217" t="s">
        <v>519</v>
      </c>
      <c r="G931" s="218"/>
      <c r="H931" s="208" t="s">
        <v>520</v>
      </c>
      <c r="I931" s="217"/>
      <c r="J931" s="238"/>
      <c r="K931" s="217"/>
      <c r="L931" s="217"/>
      <c r="M931" s="494"/>
      <c r="N931" s="535"/>
      <c r="O931" s="221"/>
      <c r="P931" s="220"/>
      <c r="Q931" s="381"/>
      <c r="R931" s="222">
        <f t="shared" si="37"/>
        <v>0</v>
      </c>
      <c r="S931" s="222"/>
      <c r="T931" s="222"/>
      <c r="U931" s="222"/>
      <c r="V931" s="222"/>
    </row>
    <row r="932" spans="1:22" ht="15.6" outlineLevel="1" x14ac:dyDescent="0.3">
      <c r="A932" s="216"/>
      <c r="B932" s="353"/>
      <c r="C932" s="252"/>
      <c r="D932" s="218"/>
      <c r="E932" s="217" t="s">
        <v>739</v>
      </c>
      <c r="F932" s="217" t="s">
        <v>519</v>
      </c>
      <c r="G932" s="218"/>
      <c r="H932" s="208" t="s">
        <v>520</v>
      </c>
      <c r="I932" s="217"/>
      <c r="J932" s="238"/>
      <c r="K932" s="217"/>
      <c r="L932" s="217"/>
      <c r="M932" s="494"/>
      <c r="N932" s="535"/>
      <c r="O932" s="221"/>
      <c r="P932" s="220"/>
      <c r="Q932" s="381"/>
      <c r="R932" s="222">
        <f t="shared" si="37"/>
        <v>0</v>
      </c>
      <c r="S932" s="222"/>
      <c r="T932" s="222"/>
      <c r="U932" s="222"/>
      <c r="V932" s="222"/>
    </row>
    <row r="933" spans="1:22" ht="15.6" outlineLevel="1" x14ac:dyDescent="0.3">
      <c r="A933" s="216"/>
      <c r="B933" s="353"/>
      <c r="C933" s="252"/>
      <c r="D933" s="218"/>
      <c r="E933" s="217" t="s">
        <v>574</v>
      </c>
      <c r="F933" s="217" t="s">
        <v>519</v>
      </c>
      <c r="G933" s="218"/>
      <c r="H933" s="208" t="s">
        <v>520</v>
      </c>
      <c r="I933" s="217"/>
      <c r="J933" s="238"/>
      <c r="K933" s="217"/>
      <c r="L933" s="217"/>
      <c r="M933" s="494"/>
      <c r="N933" s="535"/>
      <c r="O933" s="221"/>
      <c r="P933" s="220"/>
      <c r="Q933" s="381"/>
      <c r="R933" s="222">
        <f t="shared" si="37"/>
        <v>0</v>
      </c>
      <c r="S933" s="222"/>
      <c r="T933" s="222"/>
      <c r="U933" s="222"/>
      <c r="V933" s="222"/>
    </row>
    <row r="934" spans="1:22" ht="15.6" outlineLevel="1" x14ac:dyDescent="0.3">
      <c r="A934" s="216"/>
      <c r="B934" s="353"/>
      <c r="C934" s="252"/>
      <c r="D934" s="218"/>
      <c r="E934" s="217" t="s">
        <v>740</v>
      </c>
      <c r="F934" s="217" t="s">
        <v>519</v>
      </c>
      <c r="G934" s="218"/>
      <c r="H934" s="208" t="s">
        <v>520</v>
      </c>
      <c r="I934" s="217"/>
      <c r="J934" s="238"/>
      <c r="K934" s="217"/>
      <c r="L934" s="217"/>
      <c r="M934" s="494"/>
      <c r="N934" s="535"/>
      <c r="O934" s="221"/>
      <c r="P934" s="220"/>
      <c r="Q934" s="381"/>
      <c r="R934" s="222">
        <f t="shared" si="37"/>
        <v>0</v>
      </c>
      <c r="S934" s="222"/>
      <c r="T934" s="222"/>
      <c r="U934" s="222"/>
      <c r="V934" s="222"/>
    </row>
    <row r="935" spans="1:22" ht="15.6" outlineLevel="1" x14ac:dyDescent="0.3">
      <c r="A935" s="216"/>
      <c r="B935" s="353"/>
      <c r="C935" s="252"/>
      <c r="D935" s="218"/>
      <c r="E935" s="217" t="s">
        <v>740</v>
      </c>
      <c r="F935" s="217" t="s">
        <v>519</v>
      </c>
      <c r="G935" s="218"/>
      <c r="H935" s="208" t="s">
        <v>520</v>
      </c>
      <c r="I935" s="217"/>
      <c r="J935" s="238"/>
      <c r="K935" s="217"/>
      <c r="L935" s="217"/>
      <c r="M935" s="494"/>
      <c r="N935" s="535"/>
      <c r="O935" s="221"/>
      <c r="P935" s="220"/>
      <c r="Q935" s="381"/>
      <c r="R935" s="222">
        <f t="shared" si="37"/>
        <v>0</v>
      </c>
      <c r="S935" s="222"/>
      <c r="T935" s="222"/>
      <c r="U935" s="222"/>
      <c r="V935" s="222"/>
    </row>
    <row r="936" spans="1:22" ht="15.6" outlineLevel="1" x14ac:dyDescent="0.3">
      <c r="A936" s="216"/>
      <c r="B936" s="353"/>
      <c r="C936" s="252"/>
      <c r="D936" s="218"/>
      <c r="E936" s="217" t="s">
        <v>574</v>
      </c>
      <c r="F936" s="217" t="s">
        <v>519</v>
      </c>
      <c r="G936" s="218"/>
      <c r="H936" s="208" t="s">
        <v>520</v>
      </c>
      <c r="I936" s="217"/>
      <c r="J936" s="238"/>
      <c r="K936" s="217"/>
      <c r="L936" s="217"/>
      <c r="M936" s="494"/>
      <c r="N936" s="535"/>
      <c r="O936" s="221"/>
      <c r="P936" s="220"/>
      <c r="Q936" s="381"/>
      <c r="R936" s="222">
        <f t="shared" si="37"/>
        <v>0</v>
      </c>
      <c r="S936" s="222"/>
      <c r="T936" s="222"/>
      <c r="U936" s="222"/>
      <c r="V936" s="222"/>
    </row>
    <row r="937" spans="1:22" ht="15.6" outlineLevel="1" x14ac:dyDescent="0.3">
      <c r="A937" s="216"/>
      <c r="B937" s="353"/>
      <c r="C937" s="252"/>
      <c r="D937" s="218"/>
      <c r="E937" s="217" t="s">
        <v>574</v>
      </c>
      <c r="F937" s="217" t="s">
        <v>519</v>
      </c>
      <c r="G937" s="218"/>
      <c r="H937" s="208" t="s">
        <v>520</v>
      </c>
      <c r="I937" s="217"/>
      <c r="J937" s="238"/>
      <c r="K937" s="217"/>
      <c r="L937" s="217"/>
      <c r="M937" s="494"/>
      <c r="N937" s="535"/>
      <c r="O937" s="221"/>
      <c r="P937" s="220"/>
      <c r="Q937" s="381"/>
      <c r="R937" s="222">
        <f t="shared" si="37"/>
        <v>0</v>
      </c>
      <c r="S937" s="222"/>
      <c r="T937" s="222"/>
      <c r="U937" s="222"/>
      <c r="V937" s="222"/>
    </row>
    <row r="938" spans="1:22" ht="15.6" outlineLevel="1" x14ac:dyDescent="0.3">
      <c r="A938" s="216"/>
      <c r="B938" s="353"/>
      <c r="C938" s="252"/>
      <c r="D938" s="218"/>
      <c r="E938" s="217" t="s">
        <v>574</v>
      </c>
      <c r="F938" s="217" t="s">
        <v>519</v>
      </c>
      <c r="G938" s="218"/>
      <c r="H938" s="208" t="s">
        <v>520</v>
      </c>
      <c r="I938" s="217"/>
      <c r="J938" s="238"/>
      <c r="K938" s="217"/>
      <c r="L938" s="217"/>
      <c r="M938" s="494"/>
      <c r="N938" s="535"/>
      <c r="O938" s="221"/>
      <c r="P938" s="220"/>
      <c r="Q938" s="381"/>
      <c r="R938" s="222">
        <f t="shared" si="37"/>
        <v>0</v>
      </c>
      <c r="S938" s="222"/>
      <c r="T938" s="222"/>
      <c r="U938" s="222"/>
      <c r="V938" s="222"/>
    </row>
    <row r="939" spans="1:22" ht="15.6" outlineLevel="1" x14ac:dyDescent="0.3">
      <c r="A939" s="216"/>
      <c r="B939" s="353"/>
      <c r="C939" s="252"/>
      <c r="D939" s="218"/>
      <c r="E939" s="217" t="s">
        <v>574</v>
      </c>
      <c r="F939" s="217" t="s">
        <v>519</v>
      </c>
      <c r="G939" s="218"/>
      <c r="H939" s="208" t="s">
        <v>520</v>
      </c>
      <c r="I939" s="217"/>
      <c r="J939" s="238"/>
      <c r="K939" s="217"/>
      <c r="L939" s="217"/>
      <c r="M939" s="494"/>
      <c r="N939" s="535"/>
      <c r="O939" s="221"/>
      <c r="P939" s="220"/>
      <c r="Q939" s="381"/>
      <c r="R939" s="222">
        <f t="shared" si="37"/>
        <v>0</v>
      </c>
      <c r="S939" s="222"/>
      <c r="T939" s="222"/>
      <c r="U939" s="222"/>
      <c r="V939" s="222"/>
    </row>
    <row r="940" spans="1:22" ht="15.6" outlineLevel="1" x14ac:dyDescent="0.3">
      <c r="A940" s="216"/>
      <c r="B940" s="353"/>
      <c r="C940" s="252"/>
      <c r="D940" s="218"/>
      <c r="E940" s="217" t="s">
        <v>574</v>
      </c>
      <c r="F940" s="217" t="s">
        <v>519</v>
      </c>
      <c r="G940" s="218"/>
      <c r="H940" s="208" t="s">
        <v>520</v>
      </c>
      <c r="I940" s="217"/>
      <c r="J940" s="238"/>
      <c r="K940" s="217"/>
      <c r="L940" s="217"/>
      <c r="M940" s="494"/>
      <c r="N940" s="535"/>
      <c r="O940" s="221"/>
      <c r="P940" s="220"/>
      <c r="Q940" s="381"/>
      <c r="R940" s="222">
        <f t="shared" ref="R940:R949" si="38">SUM(S940,T940,U940,V940)</f>
        <v>0</v>
      </c>
      <c r="S940" s="222"/>
      <c r="T940" s="222"/>
      <c r="U940" s="222"/>
      <c r="V940" s="222"/>
    </row>
    <row r="941" spans="1:22" ht="15.6" outlineLevel="1" x14ac:dyDescent="0.3">
      <c r="A941" s="216"/>
      <c r="B941" s="353"/>
      <c r="C941" s="252"/>
      <c r="D941" s="218"/>
      <c r="E941" s="217" t="s">
        <v>740</v>
      </c>
      <c r="F941" s="217" t="s">
        <v>519</v>
      </c>
      <c r="G941" s="218"/>
      <c r="H941" s="208" t="s">
        <v>520</v>
      </c>
      <c r="I941" s="217"/>
      <c r="J941" s="238"/>
      <c r="K941" s="217"/>
      <c r="L941" s="217"/>
      <c r="M941" s="494"/>
      <c r="N941" s="535"/>
      <c r="O941" s="221"/>
      <c r="P941" s="220"/>
      <c r="Q941" s="381"/>
      <c r="R941" s="222">
        <f t="shared" si="38"/>
        <v>0</v>
      </c>
      <c r="S941" s="222"/>
      <c r="T941" s="222"/>
      <c r="U941" s="222"/>
      <c r="V941" s="222"/>
    </row>
    <row r="942" spans="1:22" ht="15.6" outlineLevel="1" x14ac:dyDescent="0.3">
      <c r="A942" s="216"/>
      <c r="B942" s="353"/>
      <c r="C942" s="252"/>
      <c r="D942" s="218"/>
      <c r="E942" s="217" t="s">
        <v>574</v>
      </c>
      <c r="F942" s="217" t="s">
        <v>519</v>
      </c>
      <c r="G942" s="218"/>
      <c r="H942" s="208" t="s">
        <v>520</v>
      </c>
      <c r="I942" s="217"/>
      <c r="J942" s="238"/>
      <c r="K942" s="217"/>
      <c r="L942" s="217"/>
      <c r="M942" s="494"/>
      <c r="N942" s="535"/>
      <c r="O942" s="221"/>
      <c r="P942" s="220"/>
      <c r="Q942" s="381"/>
      <c r="R942" s="222">
        <f t="shared" si="38"/>
        <v>0</v>
      </c>
      <c r="S942" s="222"/>
      <c r="T942" s="222"/>
      <c r="U942" s="222"/>
      <c r="V942" s="222"/>
    </row>
    <row r="943" spans="1:22" ht="15.6" outlineLevel="1" x14ac:dyDescent="0.3">
      <c r="A943" s="216"/>
      <c r="B943" s="353"/>
      <c r="C943" s="252"/>
      <c r="D943" s="218"/>
      <c r="E943" s="217" t="s">
        <v>574</v>
      </c>
      <c r="F943" s="217" t="s">
        <v>519</v>
      </c>
      <c r="G943" s="218"/>
      <c r="H943" s="208" t="s">
        <v>520</v>
      </c>
      <c r="I943" s="217"/>
      <c r="J943" s="238"/>
      <c r="K943" s="217"/>
      <c r="L943" s="217"/>
      <c r="M943" s="494"/>
      <c r="N943" s="535"/>
      <c r="O943" s="221"/>
      <c r="P943" s="220"/>
      <c r="Q943" s="381"/>
      <c r="R943" s="222">
        <f t="shared" si="38"/>
        <v>0</v>
      </c>
      <c r="S943" s="222"/>
      <c r="T943" s="222"/>
      <c r="U943" s="222"/>
      <c r="V943" s="222"/>
    </row>
    <row r="944" spans="1:22" ht="15.6" outlineLevel="1" x14ac:dyDescent="0.3">
      <c r="A944" s="216"/>
      <c r="B944" s="353"/>
      <c r="C944" s="252"/>
      <c r="D944" s="218"/>
      <c r="E944" s="217" t="s">
        <v>740</v>
      </c>
      <c r="F944" s="217" t="s">
        <v>519</v>
      </c>
      <c r="G944" s="218"/>
      <c r="H944" s="208" t="s">
        <v>520</v>
      </c>
      <c r="I944" s="217"/>
      <c r="J944" s="238"/>
      <c r="K944" s="217"/>
      <c r="L944" s="217"/>
      <c r="M944" s="494"/>
      <c r="N944" s="535"/>
      <c r="O944" s="221"/>
      <c r="P944" s="220"/>
      <c r="Q944" s="381"/>
      <c r="R944" s="222">
        <f t="shared" si="38"/>
        <v>0</v>
      </c>
      <c r="S944" s="222"/>
      <c r="T944" s="222"/>
      <c r="U944" s="222"/>
      <c r="V944" s="222"/>
    </row>
    <row r="945" spans="1:30" ht="15.6" outlineLevel="1" x14ac:dyDescent="0.3">
      <c r="A945" s="216"/>
      <c r="B945" s="353"/>
      <c r="C945" s="252"/>
      <c r="D945" s="218"/>
      <c r="E945" s="217" t="s">
        <v>574</v>
      </c>
      <c r="F945" s="217" t="s">
        <v>519</v>
      </c>
      <c r="G945" s="218"/>
      <c r="H945" s="208" t="s">
        <v>520</v>
      </c>
      <c r="I945" s="217"/>
      <c r="J945" s="238"/>
      <c r="K945" s="217"/>
      <c r="L945" s="217"/>
      <c r="M945" s="494"/>
      <c r="N945" s="535"/>
      <c r="O945" s="221"/>
      <c r="P945" s="220"/>
      <c r="Q945" s="381"/>
      <c r="R945" s="222">
        <f t="shared" si="38"/>
        <v>0</v>
      </c>
      <c r="S945" s="222"/>
      <c r="T945" s="222"/>
      <c r="U945" s="222"/>
      <c r="V945" s="222"/>
    </row>
    <row r="946" spans="1:30" ht="15.6" outlineLevel="1" x14ac:dyDescent="0.3">
      <c r="A946" s="216"/>
      <c r="B946" s="353"/>
      <c r="C946" s="252"/>
      <c r="D946" s="218"/>
      <c r="E946" s="217" t="s">
        <v>740</v>
      </c>
      <c r="F946" s="217" t="s">
        <v>519</v>
      </c>
      <c r="G946" s="218"/>
      <c r="H946" s="208" t="s">
        <v>520</v>
      </c>
      <c r="I946" s="217"/>
      <c r="J946" s="238"/>
      <c r="K946" s="217"/>
      <c r="L946" s="217"/>
      <c r="M946" s="494"/>
      <c r="N946" s="535"/>
      <c r="O946" s="221"/>
      <c r="P946" s="220"/>
      <c r="Q946" s="381"/>
      <c r="R946" s="222">
        <f t="shared" si="38"/>
        <v>0</v>
      </c>
      <c r="S946" s="222"/>
      <c r="T946" s="222"/>
      <c r="U946" s="222"/>
      <c r="V946" s="222"/>
    </row>
    <row r="947" spans="1:30" ht="15.6" outlineLevel="1" x14ac:dyDescent="0.3">
      <c r="A947" s="216"/>
      <c r="B947" s="353"/>
      <c r="C947" s="252"/>
      <c r="D947" s="218"/>
      <c r="E947" s="217" t="s">
        <v>574</v>
      </c>
      <c r="F947" s="217" t="s">
        <v>519</v>
      </c>
      <c r="G947" s="218"/>
      <c r="H947" s="208" t="s">
        <v>520</v>
      </c>
      <c r="I947" s="217"/>
      <c r="J947" s="238"/>
      <c r="K947" s="217"/>
      <c r="L947" s="217"/>
      <c r="M947" s="494"/>
      <c r="N947" s="535"/>
      <c r="O947" s="221"/>
      <c r="P947" s="220"/>
      <c r="Q947" s="381"/>
      <c r="R947" s="222">
        <f t="shared" si="38"/>
        <v>0</v>
      </c>
      <c r="S947" s="222"/>
      <c r="T947" s="222"/>
      <c r="U947" s="222"/>
      <c r="V947" s="222"/>
    </row>
    <row r="948" spans="1:30" ht="15.6" outlineLevel="1" x14ac:dyDescent="0.3">
      <c r="A948" s="216"/>
      <c r="B948" s="353"/>
      <c r="C948" s="252"/>
      <c r="D948" s="218"/>
      <c r="E948" s="217" t="s">
        <v>574</v>
      </c>
      <c r="F948" s="217" t="s">
        <v>519</v>
      </c>
      <c r="G948" s="218"/>
      <c r="H948" s="208" t="s">
        <v>520</v>
      </c>
      <c r="I948" s="217"/>
      <c r="J948" s="238"/>
      <c r="K948" s="217"/>
      <c r="L948" s="217"/>
      <c r="M948" s="494"/>
      <c r="N948" s="535"/>
      <c r="O948" s="221"/>
      <c r="P948" s="220"/>
      <c r="Q948" s="381"/>
      <c r="R948" s="222">
        <f t="shared" si="38"/>
        <v>0</v>
      </c>
      <c r="S948" s="222"/>
      <c r="T948" s="222"/>
      <c r="U948" s="222"/>
      <c r="V948" s="222"/>
    </row>
    <row r="949" spans="1:30" ht="15.6" outlineLevel="1" x14ac:dyDescent="0.3">
      <c r="A949" s="216"/>
      <c r="B949" s="353"/>
      <c r="C949" s="252"/>
      <c r="D949" s="218"/>
      <c r="E949" s="217" t="s">
        <v>574</v>
      </c>
      <c r="F949" s="217" t="s">
        <v>519</v>
      </c>
      <c r="G949" s="218"/>
      <c r="H949" s="208" t="s">
        <v>520</v>
      </c>
      <c r="I949" s="217"/>
      <c r="J949" s="238"/>
      <c r="K949" s="217"/>
      <c r="L949" s="217"/>
      <c r="M949" s="494"/>
      <c r="N949" s="535"/>
      <c r="O949" s="221"/>
      <c r="P949" s="220"/>
      <c r="Q949" s="381"/>
      <c r="R949" s="222">
        <f t="shared" si="38"/>
        <v>0</v>
      </c>
      <c r="S949" s="222"/>
      <c r="T949" s="222"/>
      <c r="U949" s="222"/>
      <c r="V949" s="222"/>
    </row>
    <row r="950" spans="1:30" ht="16.2" x14ac:dyDescent="0.35">
      <c r="A950" s="231" t="s">
        <v>776</v>
      </c>
      <c r="B950" s="232"/>
      <c r="C950" s="232"/>
      <c r="D950" s="232"/>
      <c r="E950" s="232"/>
      <c r="F950" s="258"/>
      <c r="G950" s="259"/>
      <c r="H950" s="232"/>
      <c r="I950" s="260"/>
      <c r="J950" s="258"/>
      <c r="K950" s="232"/>
      <c r="L950" s="486">
        <v>988</v>
      </c>
      <c r="M950" s="506"/>
      <c r="N950" s="536" t="s">
        <v>249</v>
      </c>
      <c r="O950" s="350">
        <v>244</v>
      </c>
      <c r="P950" s="351">
        <v>346</v>
      </c>
      <c r="Q950" s="394"/>
      <c r="R950" s="229">
        <f>SUM(R951:R1037)</f>
        <v>0</v>
      </c>
      <c r="S950" s="229">
        <f>SUM(S951:S1037)</f>
        <v>0</v>
      </c>
      <c r="T950" s="229">
        <f>SUM(T951:T1037)</f>
        <v>0</v>
      </c>
      <c r="U950" s="229">
        <f>SUM(U951:U1037)</f>
        <v>0</v>
      </c>
      <c r="V950" s="229">
        <f>SUM(V951:V1037)</f>
        <v>0</v>
      </c>
      <c r="AB950" s="425"/>
    </row>
    <row r="951" spans="1:30" s="283" customFormat="1" ht="15.6" outlineLevel="1" x14ac:dyDescent="0.3">
      <c r="A951" s="216"/>
      <c r="B951" s="610"/>
      <c r="C951" s="249"/>
      <c r="D951" s="218"/>
      <c r="E951" s="217" t="s">
        <v>574</v>
      </c>
      <c r="F951" s="217" t="s">
        <v>519</v>
      </c>
      <c r="G951" s="218"/>
      <c r="H951" s="208" t="s">
        <v>520</v>
      </c>
      <c r="I951" s="217"/>
      <c r="J951" s="217"/>
      <c r="K951" s="217"/>
      <c r="L951" s="217"/>
      <c r="M951" s="494"/>
      <c r="N951" s="535"/>
      <c r="O951" s="221"/>
      <c r="P951" s="220"/>
      <c r="Q951" s="381"/>
      <c r="R951" s="222">
        <f t="shared" ref="R951:R961" si="39">SUM(S951,T951,U951,V951)</f>
        <v>0</v>
      </c>
      <c r="S951" s="222"/>
      <c r="T951" s="222"/>
      <c r="U951" s="222"/>
      <c r="V951" s="222"/>
      <c r="AC951" s="414"/>
      <c r="AD951" s="471"/>
    </row>
    <row r="952" spans="1:30" ht="15.6" outlineLevel="1" x14ac:dyDescent="0.3">
      <c r="A952" s="216"/>
      <c r="B952" s="611"/>
      <c r="C952" s="249"/>
      <c r="D952" s="218"/>
      <c r="E952" s="217" t="s">
        <v>574</v>
      </c>
      <c r="F952" s="217" t="s">
        <v>519</v>
      </c>
      <c r="G952" s="218"/>
      <c r="H952" s="208" t="s">
        <v>520</v>
      </c>
      <c r="I952" s="217"/>
      <c r="J952" s="217"/>
      <c r="K952" s="217"/>
      <c r="L952" s="217"/>
      <c r="M952" s="494"/>
      <c r="N952" s="535"/>
      <c r="O952" s="221"/>
      <c r="P952" s="220"/>
      <c r="Q952" s="381"/>
      <c r="R952" s="222">
        <f t="shared" si="39"/>
        <v>0</v>
      </c>
      <c r="S952" s="222"/>
      <c r="T952" s="222"/>
      <c r="U952" s="222"/>
      <c r="V952" s="222"/>
    </row>
    <row r="953" spans="1:30" ht="15.6" outlineLevel="1" x14ac:dyDescent="0.3">
      <c r="A953" s="216"/>
      <c r="B953" s="611"/>
      <c r="C953" s="249"/>
      <c r="D953" s="218"/>
      <c r="E953" s="217" t="s">
        <v>574</v>
      </c>
      <c r="F953" s="217" t="s">
        <v>519</v>
      </c>
      <c r="G953" s="218"/>
      <c r="H953" s="208" t="s">
        <v>520</v>
      </c>
      <c r="I953" s="217"/>
      <c r="J953" s="217"/>
      <c r="K953" s="217"/>
      <c r="L953" s="217"/>
      <c r="M953" s="494"/>
      <c r="N953" s="535"/>
      <c r="O953" s="221"/>
      <c r="P953" s="220"/>
      <c r="Q953" s="381"/>
      <c r="R953" s="222">
        <f t="shared" si="39"/>
        <v>0</v>
      </c>
      <c r="S953" s="222"/>
      <c r="T953" s="222"/>
      <c r="U953" s="222"/>
      <c r="V953" s="222"/>
    </row>
    <row r="954" spans="1:30" ht="15.6" outlineLevel="1" x14ac:dyDescent="0.3">
      <c r="A954" s="216"/>
      <c r="B954" s="611"/>
      <c r="C954" s="249"/>
      <c r="D954" s="218"/>
      <c r="E954" s="217" t="s">
        <v>574</v>
      </c>
      <c r="F954" s="217" t="s">
        <v>519</v>
      </c>
      <c r="G954" s="218"/>
      <c r="H954" s="208" t="s">
        <v>520</v>
      </c>
      <c r="I954" s="217"/>
      <c r="J954" s="217"/>
      <c r="K954" s="217"/>
      <c r="L954" s="217"/>
      <c r="M954" s="494"/>
      <c r="N954" s="535"/>
      <c r="O954" s="221"/>
      <c r="P954" s="220"/>
      <c r="Q954" s="381"/>
      <c r="R954" s="222">
        <f t="shared" si="39"/>
        <v>0</v>
      </c>
      <c r="S954" s="222"/>
      <c r="T954" s="222"/>
      <c r="U954" s="222"/>
      <c r="V954" s="222"/>
    </row>
    <row r="955" spans="1:30" s="283" customFormat="1" ht="15.6" outlineLevel="1" x14ac:dyDescent="0.3">
      <c r="A955" s="216"/>
      <c r="B955" s="610"/>
      <c r="C955" s="249"/>
      <c r="D955" s="218"/>
      <c r="E955" s="217" t="s">
        <v>574</v>
      </c>
      <c r="F955" s="217" t="s">
        <v>519</v>
      </c>
      <c r="G955" s="218"/>
      <c r="H955" s="208" t="s">
        <v>520</v>
      </c>
      <c r="I955" s="217"/>
      <c r="J955" s="217"/>
      <c r="K955" s="217"/>
      <c r="L955" s="217"/>
      <c r="M955" s="494"/>
      <c r="N955" s="535"/>
      <c r="O955" s="221"/>
      <c r="P955" s="220"/>
      <c r="Q955" s="381"/>
      <c r="R955" s="222">
        <f>SUM(S955,T955,U955,V955)</f>
        <v>0</v>
      </c>
      <c r="S955" s="222"/>
      <c r="T955" s="222"/>
      <c r="U955" s="222"/>
      <c r="V955" s="222"/>
      <c r="AC955" s="414"/>
      <c r="AD955" s="471"/>
    </row>
    <row r="956" spans="1:30" ht="15.6" outlineLevel="1" x14ac:dyDescent="0.3">
      <c r="A956" s="216"/>
      <c r="B956" s="611"/>
      <c r="C956" s="249"/>
      <c r="D956" s="218"/>
      <c r="E956" s="217" t="s">
        <v>574</v>
      </c>
      <c r="F956" s="217" t="s">
        <v>519</v>
      </c>
      <c r="G956" s="218"/>
      <c r="H956" s="208" t="s">
        <v>520</v>
      </c>
      <c r="I956" s="217"/>
      <c r="J956" s="217"/>
      <c r="K956" s="217"/>
      <c r="L956" s="217"/>
      <c r="M956" s="494"/>
      <c r="N956" s="535"/>
      <c r="O956" s="221"/>
      <c r="P956" s="220"/>
      <c r="Q956" s="381"/>
      <c r="R956" s="222">
        <f>SUM(S956,T956,U956,V956)</f>
        <v>0</v>
      </c>
      <c r="S956" s="222"/>
      <c r="T956" s="222"/>
      <c r="U956" s="222"/>
      <c r="V956" s="222"/>
    </row>
    <row r="957" spans="1:30" ht="15.6" outlineLevel="1" x14ac:dyDescent="0.3">
      <c r="A957" s="216"/>
      <c r="B957" s="611"/>
      <c r="C957" s="249"/>
      <c r="D957" s="218"/>
      <c r="E957" s="217" t="s">
        <v>574</v>
      </c>
      <c r="F957" s="217" t="s">
        <v>519</v>
      </c>
      <c r="G957" s="218"/>
      <c r="H957" s="208" t="s">
        <v>520</v>
      </c>
      <c r="I957" s="217"/>
      <c r="J957" s="217"/>
      <c r="K957" s="217"/>
      <c r="L957" s="217"/>
      <c r="M957" s="494"/>
      <c r="N957" s="535"/>
      <c r="O957" s="221"/>
      <c r="P957" s="220"/>
      <c r="Q957" s="381"/>
      <c r="R957" s="222">
        <f t="shared" si="39"/>
        <v>0</v>
      </c>
      <c r="S957" s="222"/>
      <c r="T957" s="222"/>
      <c r="U957" s="222"/>
      <c r="V957" s="222"/>
    </row>
    <row r="958" spans="1:30" ht="15.6" outlineLevel="1" x14ac:dyDescent="0.3">
      <c r="A958" s="216"/>
      <c r="B958" s="611"/>
      <c r="C958" s="249"/>
      <c r="D958" s="218"/>
      <c r="E958" s="217" t="s">
        <v>574</v>
      </c>
      <c r="F958" s="217" t="s">
        <v>519</v>
      </c>
      <c r="G958" s="218"/>
      <c r="H958" s="208" t="s">
        <v>520</v>
      </c>
      <c r="I958" s="217"/>
      <c r="J958" s="217"/>
      <c r="K958" s="217"/>
      <c r="L958" s="217"/>
      <c r="M958" s="494"/>
      <c r="N958" s="535"/>
      <c r="O958" s="221"/>
      <c r="P958" s="220"/>
      <c r="Q958" s="381"/>
      <c r="R958" s="222">
        <f t="shared" si="39"/>
        <v>0</v>
      </c>
      <c r="S958" s="222"/>
      <c r="T958" s="222"/>
      <c r="U958" s="222"/>
      <c r="V958" s="222"/>
    </row>
    <row r="959" spans="1:30" ht="15.6" outlineLevel="1" x14ac:dyDescent="0.3">
      <c r="A959" s="216"/>
      <c r="B959" s="611"/>
      <c r="C959" s="249"/>
      <c r="D959" s="218"/>
      <c r="E959" s="217" t="s">
        <v>574</v>
      </c>
      <c r="F959" s="217" t="s">
        <v>519</v>
      </c>
      <c r="G959" s="218"/>
      <c r="H959" s="208" t="s">
        <v>520</v>
      </c>
      <c r="I959" s="217"/>
      <c r="J959" s="217"/>
      <c r="K959" s="217"/>
      <c r="L959" s="217"/>
      <c r="M959" s="494"/>
      <c r="N959" s="535"/>
      <c r="O959" s="221"/>
      <c r="P959" s="220"/>
      <c r="Q959" s="381"/>
      <c r="R959" s="222">
        <f t="shared" si="39"/>
        <v>0</v>
      </c>
      <c r="S959" s="222"/>
      <c r="T959" s="222"/>
      <c r="U959" s="222"/>
      <c r="V959" s="222"/>
    </row>
    <row r="960" spans="1:30" ht="15.6" outlineLevel="1" x14ac:dyDescent="0.3">
      <c r="A960" s="216"/>
      <c r="B960" s="611"/>
      <c r="C960" s="249"/>
      <c r="D960" s="218"/>
      <c r="E960" s="217" t="s">
        <v>574</v>
      </c>
      <c r="F960" s="217" t="s">
        <v>519</v>
      </c>
      <c r="G960" s="218"/>
      <c r="H960" s="208" t="s">
        <v>520</v>
      </c>
      <c r="I960" s="217"/>
      <c r="J960" s="217"/>
      <c r="K960" s="217"/>
      <c r="L960" s="217"/>
      <c r="M960" s="494"/>
      <c r="N960" s="535"/>
      <c r="O960" s="221"/>
      <c r="P960" s="220"/>
      <c r="Q960" s="381"/>
      <c r="R960" s="222">
        <f t="shared" si="39"/>
        <v>0</v>
      </c>
      <c r="S960" s="222"/>
      <c r="T960" s="222"/>
      <c r="U960" s="222"/>
      <c r="V960" s="222"/>
    </row>
    <row r="961" spans="1:30" ht="15.6" outlineLevel="1" x14ac:dyDescent="0.3">
      <c r="A961" s="216"/>
      <c r="B961" s="611"/>
      <c r="C961" s="249"/>
      <c r="D961" s="218"/>
      <c r="E961" s="217" t="s">
        <v>574</v>
      </c>
      <c r="F961" s="217" t="s">
        <v>519</v>
      </c>
      <c r="G961" s="218"/>
      <c r="H961" s="208" t="s">
        <v>520</v>
      </c>
      <c r="I961" s="217"/>
      <c r="J961" s="217"/>
      <c r="K961" s="217"/>
      <c r="L961" s="217"/>
      <c r="M961" s="494"/>
      <c r="N961" s="535"/>
      <c r="O961" s="221"/>
      <c r="P961" s="220"/>
      <c r="Q961" s="381"/>
      <c r="R961" s="222">
        <f t="shared" si="39"/>
        <v>0</v>
      </c>
      <c r="S961" s="222"/>
      <c r="T961" s="222"/>
      <c r="U961" s="222"/>
      <c r="V961" s="222"/>
    </row>
    <row r="962" spans="1:30" s="283" customFormat="1" ht="15.6" outlineLevel="1" x14ac:dyDescent="0.3">
      <c r="A962" s="216"/>
      <c r="B962" s="610"/>
      <c r="C962" s="249"/>
      <c r="D962" s="218"/>
      <c r="E962" s="217" t="s">
        <v>574</v>
      </c>
      <c r="F962" s="217" t="s">
        <v>519</v>
      </c>
      <c r="G962" s="218"/>
      <c r="H962" s="208" t="s">
        <v>520</v>
      </c>
      <c r="I962" s="217"/>
      <c r="J962" s="217"/>
      <c r="K962" s="217"/>
      <c r="L962" s="217"/>
      <c r="M962" s="494"/>
      <c r="N962" s="535"/>
      <c r="O962" s="221"/>
      <c r="P962" s="220"/>
      <c r="Q962" s="381"/>
      <c r="R962" s="222">
        <f t="shared" ref="R962:R973" si="40">SUM(S962,T962,U962,V962)</f>
        <v>0</v>
      </c>
      <c r="S962" s="222"/>
      <c r="T962" s="222"/>
      <c r="U962" s="222"/>
      <c r="V962" s="222"/>
      <c r="AC962" s="414"/>
      <c r="AD962" s="471"/>
    </row>
    <row r="963" spans="1:30" ht="15.6" outlineLevel="1" x14ac:dyDescent="0.3">
      <c r="A963" s="216"/>
      <c r="B963" s="611"/>
      <c r="C963" s="249"/>
      <c r="D963" s="218"/>
      <c r="E963" s="217" t="s">
        <v>574</v>
      </c>
      <c r="F963" s="217" t="s">
        <v>519</v>
      </c>
      <c r="G963" s="218"/>
      <c r="H963" s="208" t="s">
        <v>520</v>
      </c>
      <c r="I963" s="217"/>
      <c r="J963" s="217"/>
      <c r="K963" s="217"/>
      <c r="L963" s="217"/>
      <c r="M963" s="494"/>
      <c r="N963" s="535"/>
      <c r="O963" s="221"/>
      <c r="P963" s="220"/>
      <c r="Q963" s="381"/>
      <c r="R963" s="222">
        <f t="shared" si="40"/>
        <v>0</v>
      </c>
      <c r="S963" s="222"/>
      <c r="T963" s="222"/>
      <c r="U963" s="222"/>
      <c r="V963" s="222"/>
    </row>
    <row r="964" spans="1:30" ht="15.6" outlineLevel="1" x14ac:dyDescent="0.3">
      <c r="A964" s="216"/>
      <c r="B964" s="611"/>
      <c r="C964" s="249"/>
      <c r="D964" s="218"/>
      <c r="E964" s="217" t="s">
        <v>574</v>
      </c>
      <c r="F964" s="217" t="s">
        <v>519</v>
      </c>
      <c r="G964" s="218"/>
      <c r="H964" s="208" t="s">
        <v>520</v>
      </c>
      <c r="I964" s="217"/>
      <c r="J964" s="217"/>
      <c r="K964" s="217"/>
      <c r="L964" s="217"/>
      <c r="M964" s="494"/>
      <c r="N964" s="535"/>
      <c r="O964" s="221"/>
      <c r="P964" s="220"/>
      <c r="Q964" s="381"/>
      <c r="R964" s="222">
        <f t="shared" si="40"/>
        <v>0</v>
      </c>
      <c r="S964" s="222"/>
      <c r="T964" s="222"/>
      <c r="U964" s="222"/>
      <c r="V964" s="222"/>
    </row>
    <row r="965" spans="1:30" ht="15.6" outlineLevel="1" x14ac:dyDescent="0.3">
      <c r="A965" s="216"/>
      <c r="B965" s="611"/>
      <c r="C965" s="249"/>
      <c r="D965" s="218"/>
      <c r="E965" s="217" t="s">
        <v>574</v>
      </c>
      <c r="F965" s="217" t="s">
        <v>519</v>
      </c>
      <c r="G965" s="218"/>
      <c r="H965" s="208" t="s">
        <v>520</v>
      </c>
      <c r="I965" s="217"/>
      <c r="J965" s="217"/>
      <c r="K965" s="217"/>
      <c r="L965" s="217"/>
      <c r="M965" s="494"/>
      <c r="N965" s="535"/>
      <c r="O965" s="221"/>
      <c r="P965" s="220"/>
      <c r="Q965" s="381"/>
      <c r="R965" s="222">
        <f t="shared" si="40"/>
        <v>0</v>
      </c>
      <c r="S965" s="222"/>
      <c r="T965" s="222"/>
      <c r="U965" s="222"/>
      <c r="V965" s="222"/>
    </row>
    <row r="966" spans="1:30" ht="15.6" outlineLevel="1" x14ac:dyDescent="0.3">
      <c r="A966" s="216"/>
      <c r="B966" s="611"/>
      <c r="C966" s="249"/>
      <c r="D966" s="218"/>
      <c r="E966" s="217" t="s">
        <v>574</v>
      </c>
      <c r="F966" s="217" t="s">
        <v>519</v>
      </c>
      <c r="G966" s="218"/>
      <c r="H966" s="208" t="s">
        <v>520</v>
      </c>
      <c r="I966" s="217"/>
      <c r="J966" s="217"/>
      <c r="K966" s="217"/>
      <c r="L966" s="217"/>
      <c r="M966" s="494"/>
      <c r="N966" s="535"/>
      <c r="O966" s="221"/>
      <c r="P966" s="220"/>
      <c r="Q966" s="381"/>
      <c r="R966" s="222">
        <f t="shared" si="40"/>
        <v>0</v>
      </c>
      <c r="S966" s="222"/>
      <c r="T966" s="222"/>
      <c r="U966" s="222"/>
      <c r="V966" s="222"/>
    </row>
    <row r="967" spans="1:30" ht="15.6" outlineLevel="1" x14ac:dyDescent="0.3">
      <c r="A967" s="216"/>
      <c r="B967" s="611"/>
      <c r="C967" s="249"/>
      <c r="D967" s="218"/>
      <c r="E967" s="217" t="s">
        <v>574</v>
      </c>
      <c r="F967" s="217" t="s">
        <v>519</v>
      </c>
      <c r="G967" s="218"/>
      <c r="H967" s="208" t="s">
        <v>520</v>
      </c>
      <c r="I967" s="217"/>
      <c r="J967" s="217"/>
      <c r="K967" s="217"/>
      <c r="L967" s="217"/>
      <c r="M967" s="494"/>
      <c r="N967" s="535"/>
      <c r="O967" s="221"/>
      <c r="P967" s="220"/>
      <c r="Q967" s="381"/>
      <c r="R967" s="222">
        <f t="shared" si="40"/>
        <v>0</v>
      </c>
      <c r="S967" s="222"/>
      <c r="T967" s="222"/>
      <c r="U967" s="222"/>
      <c r="V967" s="222"/>
    </row>
    <row r="968" spans="1:30" ht="15.6" outlineLevel="1" x14ac:dyDescent="0.3">
      <c r="A968" s="216"/>
      <c r="B968" s="611"/>
      <c r="C968" s="249"/>
      <c r="D968" s="218"/>
      <c r="E968" s="217" t="s">
        <v>574</v>
      </c>
      <c r="F968" s="217" t="s">
        <v>519</v>
      </c>
      <c r="G968" s="218"/>
      <c r="H968" s="208" t="s">
        <v>520</v>
      </c>
      <c r="I968" s="217"/>
      <c r="J968" s="217"/>
      <c r="K968" s="217"/>
      <c r="L968" s="217"/>
      <c r="M968" s="494"/>
      <c r="N968" s="535"/>
      <c r="O968" s="221"/>
      <c r="P968" s="220"/>
      <c r="Q968" s="381"/>
      <c r="R968" s="222">
        <f t="shared" si="40"/>
        <v>0</v>
      </c>
      <c r="S968" s="222"/>
      <c r="T968" s="222"/>
      <c r="U968" s="222"/>
      <c r="V968" s="222"/>
    </row>
    <row r="969" spans="1:30" ht="15.6" outlineLevel="1" x14ac:dyDescent="0.3">
      <c r="A969" s="345"/>
      <c r="B969" s="353"/>
      <c r="C969" s="249"/>
      <c r="D969" s="218"/>
      <c r="E969" s="217" t="s">
        <v>574</v>
      </c>
      <c r="F969" s="280" t="s">
        <v>519</v>
      </c>
      <c r="G969" s="218"/>
      <c r="H969" s="208" t="s">
        <v>520</v>
      </c>
      <c r="I969" s="280"/>
      <c r="J969" s="259"/>
      <c r="K969" s="208"/>
      <c r="L969" s="217"/>
      <c r="M969" s="494"/>
      <c r="N969" s="535"/>
      <c r="O969" s="221"/>
      <c r="P969" s="220"/>
      <c r="Q969" s="381"/>
      <c r="R969" s="222">
        <f>SUM(S969,T969,U969,V969)</f>
        <v>0</v>
      </c>
      <c r="S969" s="222"/>
      <c r="T969" s="222"/>
      <c r="U969" s="222"/>
      <c r="V969" s="222"/>
    </row>
    <row r="970" spans="1:30" ht="15.6" outlineLevel="1" x14ac:dyDescent="0.3">
      <c r="A970" s="341"/>
      <c r="B970" s="230"/>
      <c r="C970" s="249"/>
      <c r="D970" s="218"/>
      <c r="E970" s="217" t="s">
        <v>574</v>
      </c>
      <c r="F970" s="217" t="s">
        <v>519</v>
      </c>
      <c r="G970" s="218"/>
      <c r="H970" s="208" t="s">
        <v>520</v>
      </c>
      <c r="I970" s="342"/>
      <c r="J970" s="342"/>
      <c r="K970" s="342"/>
      <c r="L970" s="346"/>
      <c r="M970" s="511"/>
      <c r="N970" s="541"/>
      <c r="O970" s="221"/>
      <c r="P970" s="220"/>
      <c r="Q970" s="381"/>
      <c r="R970" s="222">
        <f>SUM(S970,T970,U970,V970)</f>
        <v>0</v>
      </c>
      <c r="S970" s="222"/>
      <c r="T970" s="222"/>
      <c r="U970" s="222"/>
      <c r="V970" s="222"/>
    </row>
    <row r="971" spans="1:30" ht="15.6" outlineLevel="1" x14ac:dyDescent="0.3">
      <c r="A971" s="216"/>
      <c r="B971" s="664"/>
      <c r="C971" s="249"/>
      <c r="D971" s="218"/>
      <c r="E971" s="217" t="s">
        <v>574</v>
      </c>
      <c r="F971" s="217" t="s">
        <v>519</v>
      </c>
      <c r="G971" s="218"/>
      <c r="H971" s="208" t="s">
        <v>520</v>
      </c>
      <c r="I971" s="217"/>
      <c r="J971" s="217"/>
      <c r="K971" s="217"/>
      <c r="L971" s="217"/>
      <c r="M971" s="494"/>
      <c r="N971" s="535"/>
      <c r="O971" s="221"/>
      <c r="P971" s="220"/>
      <c r="Q971" s="381"/>
      <c r="R971" s="222">
        <f t="shared" si="40"/>
        <v>0</v>
      </c>
      <c r="S971" s="222"/>
      <c r="T971" s="222"/>
      <c r="U971" s="222"/>
      <c r="V971" s="222"/>
    </row>
    <row r="972" spans="1:30" ht="15.6" outlineLevel="1" x14ac:dyDescent="0.3">
      <c r="A972" s="216"/>
      <c r="B972" s="664"/>
      <c r="C972" s="249"/>
      <c r="D972" s="218"/>
      <c r="E972" s="217" t="s">
        <v>574</v>
      </c>
      <c r="F972" s="217" t="s">
        <v>519</v>
      </c>
      <c r="G972" s="218"/>
      <c r="H972" s="208" t="s">
        <v>520</v>
      </c>
      <c r="I972" s="217"/>
      <c r="J972" s="217"/>
      <c r="K972" s="217"/>
      <c r="L972" s="217"/>
      <c r="M972" s="494"/>
      <c r="N972" s="535"/>
      <c r="O972" s="221"/>
      <c r="P972" s="220"/>
      <c r="Q972" s="381"/>
      <c r="R972" s="222">
        <f t="shared" si="40"/>
        <v>0</v>
      </c>
      <c r="S972" s="222"/>
      <c r="T972" s="222"/>
      <c r="U972" s="222"/>
      <c r="V972" s="222"/>
    </row>
    <row r="973" spans="1:30" ht="15.6" outlineLevel="1" x14ac:dyDescent="0.3">
      <c r="A973" s="216"/>
      <c r="B973" s="664"/>
      <c r="C973" s="249"/>
      <c r="D973" s="218"/>
      <c r="E973" s="217" t="s">
        <v>574</v>
      </c>
      <c r="F973" s="217" t="s">
        <v>519</v>
      </c>
      <c r="G973" s="218"/>
      <c r="H973" s="208" t="s">
        <v>520</v>
      </c>
      <c r="I973" s="217"/>
      <c r="J973" s="217"/>
      <c r="K973" s="217"/>
      <c r="L973" s="217"/>
      <c r="M973" s="494"/>
      <c r="N973" s="535"/>
      <c r="O973" s="221"/>
      <c r="P973" s="220"/>
      <c r="Q973" s="381"/>
      <c r="R973" s="222">
        <f t="shared" si="40"/>
        <v>0</v>
      </c>
      <c r="S973" s="222"/>
      <c r="T973" s="222"/>
      <c r="U973" s="222"/>
      <c r="V973" s="222"/>
    </row>
    <row r="974" spans="1:30" ht="15.6" outlineLevel="1" x14ac:dyDescent="0.3">
      <c r="A974" s="216"/>
      <c r="B974" s="664"/>
      <c r="C974" s="249"/>
      <c r="D974" s="218"/>
      <c r="E974" s="217" t="s">
        <v>574</v>
      </c>
      <c r="F974" s="217" t="s">
        <v>519</v>
      </c>
      <c r="G974" s="218"/>
      <c r="H974" s="208" t="s">
        <v>520</v>
      </c>
      <c r="I974" s="217"/>
      <c r="J974" s="217"/>
      <c r="K974" s="217"/>
      <c r="L974" s="217"/>
      <c r="M974" s="494"/>
      <c r="N974" s="535"/>
      <c r="O974" s="221"/>
      <c r="P974" s="220"/>
      <c r="Q974" s="381"/>
      <c r="R974" s="222">
        <f t="shared" ref="R974:R995" si="41">SUM(S974,T974,U974,V974)</f>
        <v>0</v>
      </c>
      <c r="S974" s="222"/>
      <c r="T974" s="222"/>
      <c r="U974" s="222"/>
      <c r="V974" s="222"/>
    </row>
    <row r="975" spans="1:30" ht="15.6" outlineLevel="1" x14ac:dyDescent="0.3">
      <c r="A975" s="216"/>
      <c r="B975" s="664"/>
      <c r="C975" s="249"/>
      <c r="D975" s="218"/>
      <c r="E975" s="217" t="s">
        <v>574</v>
      </c>
      <c r="F975" s="217" t="s">
        <v>519</v>
      </c>
      <c r="G975" s="218"/>
      <c r="H975" s="208" t="s">
        <v>520</v>
      </c>
      <c r="I975" s="217"/>
      <c r="J975" s="217"/>
      <c r="K975" s="217"/>
      <c r="L975" s="217"/>
      <c r="M975" s="494"/>
      <c r="N975" s="535"/>
      <c r="O975" s="221"/>
      <c r="P975" s="220"/>
      <c r="Q975" s="381"/>
      <c r="R975" s="222">
        <f t="shared" si="41"/>
        <v>0</v>
      </c>
      <c r="S975" s="222"/>
      <c r="T975" s="222"/>
      <c r="U975" s="222"/>
      <c r="V975" s="222"/>
    </row>
    <row r="976" spans="1:30" ht="15.6" outlineLevel="1" x14ac:dyDescent="0.3">
      <c r="A976" s="216"/>
      <c r="B976" s="664"/>
      <c r="C976" s="249"/>
      <c r="D976" s="218"/>
      <c r="E976" s="217" t="s">
        <v>574</v>
      </c>
      <c r="F976" s="217" t="s">
        <v>519</v>
      </c>
      <c r="G976" s="218"/>
      <c r="H976" s="208" t="s">
        <v>520</v>
      </c>
      <c r="I976" s="217"/>
      <c r="J976" s="217"/>
      <c r="K976" s="217"/>
      <c r="L976" s="217"/>
      <c r="M976" s="494"/>
      <c r="N976" s="535"/>
      <c r="O976" s="221"/>
      <c r="P976" s="220"/>
      <c r="Q976" s="381"/>
      <c r="R976" s="222">
        <f t="shared" si="41"/>
        <v>0</v>
      </c>
      <c r="S976" s="222"/>
      <c r="T976" s="222"/>
      <c r="U976" s="222"/>
      <c r="V976" s="222"/>
    </row>
    <row r="977" spans="1:30" ht="15.6" outlineLevel="1" x14ac:dyDescent="0.3">
      <c r="A977" s="216"/>
      <c r="B977" s="664"/>
      <c r="C977" s="249"/>
      <c r="D977" s="218"/>
      <c r="E977" s="217" t="s">
        <v>574</v>
      </c>
      <c r="F977" s="217" t="s">
        <v>519</v>
      </c>
      <c r="G977" s="218"/>
      <c r="H977" s="208" t="s">
        <v>520</v>
      </c>
      <c r="I977" s="217"/>
      <c r="J977" s="217"/>
      <c r="K977" s="217"/>
      <c r="L977" s="217"/>
      <c r="M977" s="494"/>
      <c r="N977" s="535"/>
      <c r="O977" s="221"/>
      <c r="P977" s="220"/>
      <c r="Q977" s="381"/>
      <c r="R977" s="222">
        <f t="shared" si="41"/>
        <v>0</v>
      </c>
      <c r="S977" s="222"/>
      <c r="T977" s="222"/>
      <c r="U977" s="222"/>
      <c r="V977" s="222"/>
    </row>
    <row r="978" spans="1:30" ht="15.6" outlineLevel="1" x14ac:dyDescent="0.3">
      <c r="A978" s="216"/>
      <c r="B978" s="664"/>
      <c r="C978" s="249"/>
      <c r="D978" s="218"/>
      <c r="E978" s="217" t="s">
        <v>574</v>
      </c>
      <c r="F978" s="217" t="s">
        <v>519</v>
      </c>
      <c r="G978" s="218"/>
      <c r="H978" s="208" t="s">
        <v>520</v>
      </c>
      <c r="I978" s="217"/>
      <c r="J978" s="217"/>
      <c r="K978" s="217"/>
      <c r="L978" s="217"/>
      <c r="M978" s="494"/>
      <c r="N978" s="535"/>
      <c r="O978" s="221"/>
      <c r="P978" s="220"/>
      <c r="Q978" s="381"/>
      <c r="R978" s="222">
        <f t="shared" si="41"/>
        <v>0</v>
      </c>
      <c r="S978" s="222"/>
      <c r="T978" s="222"/>
      <c r="U978" s="222"/>
      <c r="V978" s="222"/>
    </row>
    <row r="979" spans="1:30" ht="15.6" outlineLevel="1" x14ac:dyDescent="0.3">
      <c r="A979" s="216"/>
      <c r="B979" s="664"/>
      <c r="C979" s="249"/>
      <c r="D979" s="218"/>
      <c r="E979" s="217" t="s">
        <v>574</v>
      </c>
      <c r="F979" s="217" t="s">
        <v>519</v>
      </c>
      <c r="G979" s="218"/>
      <c r="H979" s="208" t="s">
        <v>520</v>
      </c>
      <c r="I979" s="217"/>
      <c r="J979" s="217"/>
      <c r="K979" s="217"/>
      <c r="L979" s="217"/>
      <c r="M979" s="494"/>
      <c r="N979" s="535"/>
      <c r="O979" s="221"/>
      <c r="P979" s="220"/>
      <c r="Q979" s="381"/>
      <c r="R979" s="222">
        <f t="shared" si="41"/>
        <v>0</v>
      </c>
      <c r="S979" s="222"/>
      <c r="T979" s="222"/>
      <c r="U979" s="222"/>
      <c r="V979" s="222"/>
    </row>
    <row r="980" spans="1:30" ht="15.6" outlineLevel="1" x14ac:dyDescent="0.3">
      <c r="A980" s="216"/>
      <c r="B980" s="611"/>
      <c r="C980" s="249"/>
      <c r="D980" s="218"/>
      <c r="E980" s="217" t="s">
        <v>574</v>
      </c>
      <c r="F980" s="217" t="s">
        <v>519</v>
      </c>
      <c r="G980" s="218"/>
      <c r="H980" s="208" t="s">
        <v>520</v>
      </c>
      <c r="I980" s="217"/>
      <c r="J980" s="217"/>
      <c r="K980" s="217"/>
      <c r="L980" s="217"/>
      <c r="M980" s="494"/>
      <c r="N980" s="535"/>
      <c r="O980" s="221"/>
      <c r="P980" s="220"/>
      <c r="Q980" s="381"/>
      <c r="R980" s="222">
        <f t="shared" si="41"/>
        <v>0</v>
      </c>
      <c r="S980" s="222"/>
      <c r="T980" s="222"/>
      <c r="U980" s="222"/>
      <c r="V980" s="222"/>
    </row>
    <row r="981" spans="1:30" ht="15.6" outlineLevel="1" x14ac:dyDescent="0.3">
      <c r="A981" s="216"/>
      <c r="B981" s="611"/>
      <c r="C981" s="249"/>
      <c r="D981" s="218"/>
      <c r="E981" s="217" t="s">
        <v>574</v>
      </c>
      <c r="F981" s="217" t="s">
        <v>519</v>
      </c>
      <c r="G981" s="218"/>
      <c r="H981" s="208" t="s">
        <v>520</v>
      </c>
      <c r="I981" s="217"/>
      <c r="J981" s="217"/>
      <c r="K981" s="217"/>
      <c r="L981" s="217"/>
      <c r="M981" s="494"/>
      <c r="N981" s="535"/>
      <c r="O981" s="221"/>
      <c r="P981" s="220"/>
      <c r="Q981" s="381"/>
      <c r="R981" s="222">
        <f t="shared" si="41"/>
        <v>0</v>
      </c>
      <c r="S981" s="222"/>
      <c r="T981" s="222"/>
      <c r="U981" s="222"/>
      <c r="V981" s="222"/>
    </row>
    <row r="982" spans="1:30" ht="15.6" outlineLevel="1" x14ac:dyDescent="0.3">
      <c r="A982" s="345"/>
      <c r="B982" s="353"/>
      <c r="C982" s="249"/>
      <c r="D982" s="218"/>
      <c r="E982" s="217" t="s">
        <v>574</v>
      </c>
      <c r="F982" s="280" t="s">
        <v>519</v>
      </c>
      <c r="G982" s="218"/>
      <c r="H982" s="208" t="s">
        <v>520</v>
      </c>
      <c r="I982" s="280"/>
      <c r="J982" s="259"/>
      <c r="K982" s="208"/>
      <c r="L982" s="217"/>
      <c r="M982" s="494"/>
      <c r="N982" s="535"/>
      <c r="O982" s="221"/>
      <c r="P982" s="220"/>
      <c r="Q982" s="381"/>
      <c r="R982" s="222">
        <f t="shared" si="41"/>
        <v>0</v>
      </c>
      <c r="S982" s="222"/>
      <c r="T982" s="222"/>
      <c r="U982" s="222"/>
      <c r="V982" s="222"/>
    </row>
    <row r="983" spans="1:30" ht="15.6" outlineLevel="1" x14ac:dyDescent="0.3">
      <c r="A983" s="345"/>
      <c r="B983" s="353"/>
      <c r="C983" s="249"/>
      <c r="D983" s="218"/>
      <c r="E983" s="217" t="s">
        <v>574</v>
      </c>
      <c r="F983" s="280" t="s">
        <v>519</v>
      </c>
      <c r="G983" s="218"/>
      <c r="H983" s="208" t="s">
        <v>520</v>
      </c>
      <c r="I983" s="280"/>
      <c r="J983" s="259"/>
      <c r="K983" s="208"/>
      <c r="L983" s="217"/>
      <c r="M983" s="494"/>
      <c r="N983" s="535"/>
      <c r="O983" s="221"/>
      <c r="P983" s="220"/>
      <c r="Q983" s="381"/>
      <c r="R983" s="222">
        <f t="shared" si="41"/>
        <v>0</v>
      </c>
      <c r="S983" s="222"/>
      <c r="T983" s="222"/>
      <c r="U983" s="222"/>
      <c r="V983" s="222"/>
    </row>
    <row r="984" spans="1:30" s="45" customFormat="1" ht="15.6" outlineLevel="1" x14ac:dyDescent="0.3">
      <c r="A984" s="341"/>
      <c r="B984" s="230"/>
      <c r="C984" s="249"/>
      <c r="D984" s="218"/>
      <c r="E984" s="217" t="s">
        <v>574</v>
      </c>
      <c r="F984" s="217" t="s">
        <v>519</v>
      </c>
      <c r="G984" s="218"/>
      <c r="H984" s="208" t="s">
        <v>520</v>
      </c>
      <c r="I984" s="342"/>
      <c r="J984" s="342"/>
      <c r="K984" s="342"/>
      <c r="L984" s="346"/>
      <c r="M984" s="511"/>
      <c r="N984" s="541"/>
      <c r="O984" s="221"/>
      <c r="P984" s="220"/>
      <c r="Q984" s="381"/>
      <c r="R984" s="222">
        <f t="shared" si="41"/>
        <v>0</v>
      </c>
      <c r="S984" s="222"/>
      <c r="T984" s="222"/>
      <c r="U984" s="222"/>
      <c r="V984" s="222"/>
      <c r="AC984" s="414"/>
      <c r="AD984" s="471"/>
    </row>
    <row r="985" spans="1:30" ht="15.6" outlineLevel="1" x14ac:dyDescent="0.3">
      <c r="A985" s="341"/>
      <c r="B985" s="230"/>
      <c r="C985" s="249"/>
      <c r="D985" s="218"/>
      <c r="E985" s="217" t="s">
        <v>574</v>
      </c>
      <c r="F985" s="217" t="s">
        <v>519</v>
      </c>
      <c r="G985" s="218"/>
      <c r="H985" s="208" t="s">
        <v>520</v>
      </c>
      <c r="I985" s="342"/>
      <c r="J985" s="342"/>
      <c r="K985" s="342"/>
      <c r="L985" s="346"/>
      <c r="M985" s="511"/>
      <c r="N985" s="541"/>
      <c r="O985" s="221"/>
      <c r="P985" s="220"/>
      <c r="Q985" s="381"/>
      <c r="R985" s="222">
        <f t="shared" si="41"/>
        <v>0</v>
      </c>
      <c r="S985" s="222"/>
      <c r="T985" s="222"/>
      <c r="U985" s="222"/>
      <c r="V985" s="222"/>
    </row>
    <row r="986" spans="1:30" s="45" customFormat="1" ht="15.6" outlineLevel="1" x14ac:dyDescent="0.3">
      <c r="A986" s="341"/>
      <c r="B986" s="230"/>
      <c r="C986" s="249"/>
      <c r="D986" s="218"/>
      <c r="E986" s="217" t="s">
        <v>574</v>
      </c>
      <c r="F986" s="217" t="s">
        <v>519</v>
      </c>
      <c r="G986" s="218"/>
      <c r="H986" s="208" t="s">
        <v>520</v>
      </c>
      <c r="I986" s="342"/>
      <c r="J986" s="342"/>
      <c r="K986" s="342"/>
      <c r="L986" s="346"/>
      <c r="M986" s="511"/>
      <c r="N986" s="541"/>
      <c r="O986" s="221"/>
      <c r="P986" s="220"/>
      <c r="Q986" s="381"/>
      <c r="R986" s="222">
        <f t="shared" si="41"/>
        <v>0</v>
      </c>
      <c r="S986" s="222"/>
      <c r="T986" s="222"/>
      <c r="U986" s="222"/>
      <c r="V986" s="222"/>
      <c r="AC986" s="414"/>
      <c r="AD986" s="471"/>
    </row>
    <row r="987" spans="1:30" ht="15.6" outlineLevel="1" x14ac:dyDescent="0.3">
      <c r="A987" s="341"/>
      <c r="B987" s="230"/>
      <c r="C987" s="249"/>
      <c r="D987" s="218"/>
      <c r="E987" s="217" t="s">
        <v>574</v>
      </c>
      <c r="F987" s="217" t="s">
        <v>519</v>
      </c>
      <c r="G987" s="218"/>
      <c r="H987" s="208" t="s">
        <v>520</v>
      </c>
      <c r="I987" s="342"/>
      <c r="J987" s="342"/>
      <c r="K987" s="342"/>
      <c r="L987" s="346"/>
      <c r="M987" s="511"/>
      <c r="N987" s="541"/>
      <c r="O987" s="221"/>
      <c r="P987" s="220"/>
      <c r="Q987" s="381"/>
      <c r="R987" s="222">
        <f t="shared" si="41"/>
        <v>0</v>
      </c>
      <c r="S987" s="222"/>
      <c r="T987" s="222"/>
      <c r="U987" s="222"/>
      <c r="V987" s="222"/>
    </row>
    <row r="988" spans="1:30" ht="15.6" outlineLevel="1" x14ac:dyDescent="0.3">
      <c r="A988" s="216"/>
      <c r="B988" s="664"/>
      <c r="C988" s="249"/>
      <c r="D988" s="218"/>
      <c r="E988" s="217" t="s">
        <v>574</v>
      </c>
      <c r="F988" s="217" t="s">
        <v>519</v>
      </c>
      <c r="G988" s="218"/>
      <c r="H988" s="208" t="s">
        <v>520</v>
      </c>
      <c r="I988" s="217"/>
      <c r="J988" s="217"/>
      <c r="K988" s="217"/>
      <c r="L988" s="217"/>
      <c r="M988" s="494"/>
      <c r="N988" s="535"/>
      <c r="O988" s="221"/>
      <c r="P988" s="220"/>
      <c r="Q988" s="381"/>
      <c r="R988" s="222">
        <f t="shared" si="41"/>
        <v>0</v>
      </c>
      <c r="S988" s="222"/>
      <c r="T988" s="222"/>
      <c r="U988" s="222"/>
      <c r="V988" s="222"/>
    </row>
    <row r="989" spans="1:30" ht="15.6" outlineLevel="1" x14ac:dyDescent="0.3">
      <c r="A989" s="216"/>
      <c r="B989" s="664"/>
      <c r="C989" s="249"/>
      <c r="D989" s="218"/>
      <c r="E989" s="217" t="s">
        <v>574</v>
      </c>
      <c r="F989" s="217" t="s">
        <v>519</v>
      </c>
      <c r="G989" s="218"/>
      <c r="H989" s="208" t="s">
        <v>520</v>
      </c>
      <c r="I989" s="217"/>
      <c r="J989" s="217"/>
      <c r="K989" s="217"/>
      <c r="L989" s="217"/>
      <c r="M989" s="494"/>
      <c r="N989" s="535"/>
      <c r="O989" s="221"/>
      <c r="P989" s="220"/>
      <c r="Q989" s="381"/>
      <c r="R989" s="222">
        <f t="shared" si="41"/>
        <v>0</v>
      </c>
      <c r="S989" s="222"/>
      <c r="T989" s="222"/>
      <c r="U989" s="222"/>
      <c r="V989" s="222"/>
    </row>
    <row r="990" spans="1:30" ht="15.6" outlineLevel="1" x14ac:dyDescent="0.3">
      <c r="A990" s="216"/>
      <c r="B990" s="664"/>
      <c r="C990" s="249"/>
      <c r="D990" s="218"/>
      <c r="E990" s="217" t="s">
        <v>574</v>
      </c>
      <c r="F990" s="217" t="s">
        <v>519</v>
      </c>
      <c r="G990" s="218"/>
      <c r="H990" s="208" t="s">
        <v>520</v>
      </c>
      <c r="I990" s="217"/>
      <c r="J990" s="217"/>
      <c r="K990" s="217"/>
      <c r="L990" s="217"/>
      <c r="M990" s="494"/>
      <c r="N990" s="535"/>
      <c r="O990" s="221"/>
      <c r="P990" s="220"/>
      <c r="Q990" s="381"/>
      <c r="R990" s="222">
        <f t="shared" si="41"/>
        <v>0</v>
      </c>
      <c r="S990" s="222"/>
      <c r="T990" s="222"/>
      <c r="U990" s="222"/>
      <c r="V990" s="222"/>
    </row>
    <row r="991" spans="1:30" ht="15.6" outlineLevel="1" x14ac:dyDescent="0.3">
      <c r="A991" s="216"/>
      <c r="B991" s="664"/>
      <c r="C991" s="249"/>
      <c r="D991" s="218"/>
      <c r="E991" s="217" t="s">
        <v>574</v>
      </c>
      <c r="F991" s="217" t="s">
        <v>519</v>
      </c>
      <c r="G991" s="218"/>
      <c r="H991" s="208" t="s">
        <v>520</v>
      </c>
      <c r="I991" s="217"/>
      <c r="J991" s="217"/>
      <c r="K991" s="217"/>
      <c r="L991" s="217"/>
      <c r="M991" s="494"/>
      <c r="N991" s="535"/>
      <c r="O991" s="221"/>
      <c r="P991" s="220"/>
      <c r="Q991" s="381"/>
      <c r="R991" s="222">
        <f t="shared" si="41"/>
        <v>0</v>
      </c>
      <c r="S991" s="222"/>
      <c r="T991" s="222"/>
      <c r="U991" s="222"/>
      <c r="V991" s="222"/>
    </row>
    <row r="992" spans="1:30" ht="15.6" outlineLevel="1" x14ac:dyDescent="0.3">
      <c r="A992" s="216"/>
      <c r="B992" s="664"/>
      <c r="C992" s="249"/>
      <c r="D992" s="218"/>
      <c r="E992" s="217" t="s">
        <v>574</v>
      </c>
      <c r="F992" s="217" t="s">
        <v>519</v>
      </c>
      <c r="G992" s="218"/>
      <c r="H992" s="208" t="s">
        <v>520</v>
      </c>
      <c r="I992" s="217"/>
      <c r="J992" s="217"/>
      <c r="K992" s="217"/>
      <c r="L992" s="217"/>
      <c r="M992" s="494"/>
      <c r="N992" s="535"/>
      <c r="O992" s="221"/>
      <c r="P992" s="220"/>
      <c r="Q992" s="381"/>
      <c r="R992" s="222">
        <f t="shared" si="41"/>
        <v>0</v>
      </c>
      <c r="S992" s="222"/>
      <c r="T992" s="222"/>
      <c r="U992" s="222"/>
      <c r="V992" s="222"/>
    </row>
    <row r="993" spans="1:22" ht="15.6" outlineLevel="1" x14ac:dyDescent="0.3">
      <c r="A993" s="216"/>
      <c r="B993" s="664"/>
      <c r="C993" s="249"/>
      <c r="D993" s="218"/>
      <c r="E993" s="217" t="s">
        <v>574</v>
      </c>
      <c r="F993" s="217" t="s">
        <v>519</v>
      </c>
      <c r="G993" s="218"/>
      <c r="H993" s="208" t="s">
        <v>520</v>
      </c>
      <c r="I993" s="217"/>
      <c r="J993" s="217"/>
      <c r="K993" s="217"/>
      <c r="L993" s="217"/>
      <c r="M993" s="494"/>
      <c r="N993" s="535"/>
      <c r="O993" s="221"/>
      <c r="P993" s="220"/>
      <c r="Q993" s="381"/>
      <c r="R993" s="222">
        <f t="shared" si="41"/>
        <v>0</v>
      </c>
      <c r="S993" s="222"/>
      <c r="T993" s="222"/>
      <c r="U993" s="222"/>
      <c r="V993" s="222"/>
    </row>
    <row r="994" spans="1:22" ht="15.6" outlineLevel="1" x14ac:dyDescent="0.3">
      <c r="A994" s="216"/>
      <c r="B994" s="664"/>
      <c r="C994" s="249"/>
      <c r="D994" s="218"/>
      <c r="E994" s="217" t="s">
        <v>574</v>
      </c>
      <c r="F994" s="217" t="s">
        <v>519</v>
      </c>
      <c r="G994" s="218"/>
      <c r="H994" s="208" t="s">
        <v>520</v>
      </c>
      <c r="I994" s="217"/>
      <c r="J994" s="217"/>
      <c r="K994" s="217"/>
      <c r="L994" s="217"/>
      <c r="M994" s="494"/>
      <c r="N994" s="535"/>
      <c r="O994" s="221"/>
      <c r="P994" s="220"/>
      <c r="Q994" s="381"/>
      <c r="R994" s="222">
        <f t="shared" si="41"/>
        <v>0</v>
      </c>
      <c r="S994" s="222"/>
      <c r="T994" s="222"/>
      <c r="U994" s="222"/>
      <c r="V994" s="222"/>
    </row>
    <row r="995" spans="1:22" ht="15.6" outlineLevel="1" x14ac:dyDescent="0.3">
      <c r="A995" s="216"/>
      <c r="B995" s="664"/>
      <c r="C995" s="249"/>
      <c r="D995" s="218"/>
      <c r="E995" s="217" t="s">
        <v>574</v>
      </c>
      <c r="F995" s="217" t="s">
        <v>519</v>
      </c>
      <c r="G995" s="218"/>
      <c r="H995" s="208" t="s">
        <v>520</v>
      </c>
      <c r="I995" s="217"/>
      <c r="J995" s="217"/>
      <c r="K995" s="217"/>
      <c r="L995" s="217"/>
      <c r="M995" s="494"/>
      <c r="N995" s="535"/>
      <c r="O995" s="221"/>
      <c r="P995" s="220"/>
      <c r="Q995" s="381"/>
      <c r="R995" s="222">
        <f t="shared" si="41"/>
        <v>0</v>
      </c>
      <c r="S995" s="222"/>
      <c r="T995" s="222"/>
      <c r="U995" s="222"/>
      <c r="V995" s="222"/>
    </row>
    <row r="996" spans="1:22" ht="15.6" outlineLevel="1" x14ac:dyDescent="0.3">
      <c r="A996" s="216"/>
      <c r="B996" s="664"/>
      <c r="C996" s="249"/>
      <c r="D996" s="218"/>
      <c r="E996" s="217" t="s">
        <v>574</v>
      </c>
      <c r="F996" s="217" t="s">
        <v>519</v>
      </c>
      <c r="G996" s="218"/>
      <c r="H996" s="208" t="s">
        <v>520</v>
      </c>
      <c r="I996" s="217"/>
      <c r="J996" s="217"/>
      <c r="K996" s="217"/>
      <c r="L996" s="217"/>
      <c r="M996" s="494"/>
      <c r="N996" s="535"/>
      <c r="O996" s="221"/>
      <c r="P996" s="220"/>
      <c r="Q996" s="381"/>
      <c r="R996" s="222">
        <f t="shared" ref="R996:R1016" si="42">SUM(S996,T996,U996,V996)</f>
        <v>0</v>
      </c>
      <c r="S996" s="222"/>
      <c r="T996" s="222"/>
      <c r="U996" s="222"/>
      <c r="V996" s="222"/>
    </row>
    <row r="997" spans="1:22" ht="15.6" outlineLevel="1" x14ac:dyDescent="0.3">
      <c r="A997" s="216"/>
      <c r="B997" s="664"/>
      <c r="C997" s="249"/>
      <c r="D997" s="218"/>
      <c r="E997" s="217" t="s">
        <v>574</v>
      </c>
      <c r="F997" s="217" t="s">
        <v>519</v>
      </c>
      <c r="G997" s="218"/>
      <c r="H997" s="208" t="s">
        <v>520</v>
      </c>
      <c r="I997" s="217"/>
      <c r="J997" s="217"/>
      <c r="K997" s="217"/>
      <c r="L997" s="217"/>
      <c r="M997" s="494"/>
      <c r="N997" s="535"/>
      <c r="O997" s="221"/>
      <c r="P997" s="220"/>
      <c r="Q997" s="381"/>
      <c r="R997" s="222">
        <f t="shared" si="42"/>
        <v>0</v>
      </c>
      <c r="S997" s="222"/>
      <c r="T997" s="222"/>
      <c r="U997" s="222"/>
      <c r="V997" s="222"/>
    </row>
    <row r="998" spans="1:22" ht="15.6" outlineLevel="1" x14ac:dyDescent="0.3">
      <c r="A998" s="216"/>
      <c r="B998" s="664"/>
      <c r="C998" s="249"/>
      <c r="D998" s="218"/>
      <c r="E998" s="217" t="s">
        <v>574</v>
      </c>
      <c r="F998" s="217" t="s">
        <v>519</v>
      </c>
      <c r="G998" s="218"/>
      <c r="H998" s="208" t="s">
        <v>520</v>
      </c>
      <c r="I998" s="217"/>
      <c r="J998" s="217"/>
      <c r="K998" s="217"/>
      <c r="L998" s="217"/>
      <c r="M998" s="494"/>
      <c r="N998" s="535"/>
      <c r="O998" s="221"/>
      <c r="P998" s="220"/>
      <c r="Q998" s="381"/>
      <c r="R998" s="222">
        <f t="shared" si="42"/>
        <v>0</v>
      </c>
      <c r="S998" s="222"/>
      <c r="T998" s="222"/>
      <c r="U998" s="222"/>
      <c r="V998" s="222"/>
    </row>
    <row r="999" spans="1:22" ht="15.6" outlineLevel="1" x14ac:dyDescent="0.3">
      <c r="A999" s="216"/>
      <c r="B999" s="611"/>
      <c r="C999" s="249"/>
      <c r="D999" s="218"/>
      <c r="E999" s="217" t="s">
        <v>574</v>
      </c>
      <c r="F999" s="217" t="s">
        <v>519</v>
      </c>
      <c r="G999" s="218"/>
      <c r="H999" s="208" t="s">
        <v>520</v>
      </c>
      <c r="I999" s="217"/>
      <c r="J999" s="217"/>
      <c r="K999" s="217"/>
      <c r="L999" s="217"/>
      <c r="M999" s="494"/>
      <c r="N999" s="535"/>
      <c r="O999" s="221"/>
      <c r="P999" s="220"/>
      <c r="Q999" s="381"/>
      <c r="R999" s="222">
        <f t="shared" si="42"/>
        <v>0</v>
      </c>
      <c r="S999" s="222"/>
      <c r="T999" s="222"/>
      <c r="U999" s="222"/>
      <c r="V999" s="222"/>
    </row>
    <row r="1000" spans="1:22" ht="15.6" outlineLevel="1" x14ac:dyDescent="0.3">
      <c r="A1000" s="216"/>
      <c r="B1000" s="611"/>
      <c r="C1000" s="249"/>
      <c r="D1000" s="218"/>
      <c r="E1000" s="217" t="s">
        <v>574</v>
      </c>
      <c r="F1000" s="217" t="s">
        <v>519</v>
      </c>
      <c r="G1000" s="218"/>
      <c r="H1000" s="208" t="s">
        <v>520</v>
      </c>
      <c r="I1000" s="217"/>
      <c r="J1000" s="217"/>
      <c r="K1000" s="217"/>
      <c r="L1000" s="217"/>
      <c r="M1000" s="494"/>
      <c r="N1000" s="535"/>
      <c r="O1000" s="221"/>
      <c r="P1000" s="220"/>
      <c r="Q1000" s="381"/>
      <c r="R1000" s="222">
        <f t="shared" si="42"/>
        <v>0</v>
      </c>
      <c r="S1000" s="222"/>
      <c r="T1000" s="222"/>
      <c r="U1000" s="222"/>
      <c r="V1000" s="222"/>
    </row>
    <row r="1001" spans="1:22" ht="15.6" outlineLevel="1" x14ac:dyDescent="0.3">
      <c r="A1001" s="216"/>
      <c r="B1001" s="611"/>
      <c r="C1001" s="249"/>
      <c r="D1001" s="218"/>
      <c r="E1001" s="217" t="s">
        <v>574</v>
      </c>
      <c r="F1001" s="217" t="s">
        <v>519</v>
      </c>
      <c r="G1001" s="218"/>
      <c r="H1001" s="208" t="s">
        <v>520</v>
      </c>
      <c r="I1001" s="217"/>
      <c r="J1001" s="217"/>
      <c r="K1001" s="217"/>
      <c r="L1001" s="217"/>
      <c r="M1001" s="494"/>
      <c r="N1001" s="535"/>
      <c r="O1001" s="221"/>
      <c r="P1001" s="220"/>
      <c r="Q1001" s="381"/>
      <c r="R1001" s="222">
        <f t="shared" si="42"/>
        <v>0</v>
      </c>
      <c r="S1001" s="222"/>
      <c r="T1001" s="222"/>
      <c r="U1001" s="222"/>
      <c r="V1001" s="222"/>
    </row>
    <row r="1002" spans="1:22" ht="15.6" outlineLevel="1" x14ac:dyDescent="0.3">
      <c r="A1002" s="341"/>
      <c r="B1002" s="230"/>
      <c r="C1002" s="249"/>
      <c r="D1002" s="218"/>
      <c r="E1002" s="217" t="s">
        <v>574</v>
      </c>
      <c r="F1002" s="217" t="s">
        <v>519</v>
      </c>
      <c r="G1002" s="218"/>
      <c r="H1002" s="208" t="s">
        <v>520</v>
      </c>
      <c r="I1002" s="342"/>
      <c r="J1002" s="342"/>
      <c r="K1002" s="342"/>
      <c r="L1002" s="346"/>
      <c r="M1002" s="511"/>
      <c r="N1002" s="541"/>
      <c r="O1002" s="221"/>
      <c r="P1002" s="220"/>
      <c r="Q1002" s="381"/>
      <c r="R1002" s="222">
        <f t="shared" si="42"/>
        <v>0</v>
      </c>
      <c r="S1002" s="222"/>
      <c r="T1002" s="222"/>
      <c r="U1002" s="222"/>
      <c r="V1002" s="222"/>
    </row>
    <row r="1003" spans="1:22" ht="15.6" outlineLevel="1" x14ac:dyDescent="0.3">
      <c r="A1003" s="216"/>
      <c r="B1003" s="664"/>
      <c r="C1003" s="249"/>
      <c r="D1003" s="218"/>
      <c r="E1003" s="217" t="s">
        <v>574</v>
      </c>
      <c r="F1003" s="217" t="s">
        <v>519</v>
      </c>
      <c r="G1003" s="218"/>
      <c r="H1003" s="208" t="s">
        <v>520</v>
      </c>
      <c r="I1003" s="217"/>
      <c r="J1003" s="217"/>
      <c r="K1003" s="217"/>
      <c r="L1003" s="217"/>
      <c r="M1003" s="494"/>
      <c r="N1003" s="535"/>
      <c r="O1003" s="221"/>
      <c r="P1003" s="220"/>
      <c r="Q1003" s="381"/>
      <c r="R1003" s="222">
        <f t="shared" si="42"/>
        <v>0</v>
      </c>
      <c r="S1003" s="222"/>
      <c r="T1003" s="222"/>
      <c r="U1003" s="222"/>
      <c r="V1003" s="222"/>
    </row>
    <row r="1004" spans="1:22" ht="15.6" outlineLevel="1" x14ac:dyDescent="0.3">
      <c r="A1004" s="216"/>
      <c r="B1004" s="664"/>
      <c r="C1004" s="249"/>
      <c r="D1004" s="218"/>
      <c r="E1004" s="217" t="s">
        <v>574</v>
      </c>
      <c r="F1004" s="217" t="s">
        <v>519</v>
      </c>
      <c r="G1004" s="218"/>
      <c r="H1004" s="208" t="s">
        <v>520</v>
      </c>
      <c r="I1004" s="217"/>
      <c r="J1004" s="217"/>
      <c r="K1004" s="217"/>
      <c r="L1004" s="217"/>
      <c r="M1004" s="494"/>
      <c r="N1004" s="535"/>
      <c r="O1004" s="221"/>
      <c r="P1004" s="220"/>
      <c r="Q1004" s="381"/>
      <c r="R1004" s="222">
        <f t="shared" si="42"/>
        <v>0</v>
      </c>
      <c r="S1004" s="222"/>
      <c r="T1004" s="222"/>
      <c r="U1004" s="222"/>
      <c r="V1004" s="222"/>
    </row>
    <row r="1005" spans="1:22" ht="15.6" outlineLevel="1" x14ac:dyDescent="0.3">
      <c r="A1005" s="216"/>
      <c r="B1005" s="664"/>
      <c r="C1005" s="249"/>
      <c r="D1005" s="218"/>
      <c r="E1005" s="217" t="s">
        <v>574</v>
      </c>
      <c r="F1005" s="217" t="s">
        <v>519</v>
      </c>
      <c r="G1005" s="218"/>
      <c r="H1005" s="208" t="s">
        <v>520</v>
      </c>
      <c r="I1005" s="217"/>
      <c r="J1005" s="217"/>
      <c r="K1005" s="217"/>
      <c r="L1005" s="217"/>
      <c r="M1005" s="494"/>
      <c r="N1005" s="535"/>
      <c r="O1005" s="221"/>
      <c r="P1005" s="220"/>
      <c r="Q1005" s="381"/>
      <c r="R1005" s="222">
        <f t="shared" si="42"/>
        <v>0</v>
      </c>
      <c r="S1005" s="222"/>
      <c r="T1005" s="222"/>
      <c r="U1005" s="222"/>
      <c r="V1005" s="222"/>
    </row>
    <row r="1006" spans="1:22" ht="15.6" outlineLevel="1" x14ac:dyDescent="0.3">
      <c r="A1006" s="216"/>
      <c r="B1006" s="664"/>
      <c r="C1006" s="249"/>
      <c r="D1006" s="218"/>
      <c r="E1006" s="217" t="s">
        <v>574</v>
      </c>
      <c r="F1006" s="217" t="s">
        <v>519</v>
      </c>
      <c r="G1006" s="218"/>
      <c r="H1006" s="208" t="s">
        <v>520</v>
      </c>
      <c r="I1006" s="217"/>
      <c r="J1006" s="217"/>
      <c r="K1006" s="217"/>
      <c r="L1006" s="217"/>
      <c r="M1006" s="494"/>
      <c r="N1006" s="535"/>
      <c r="O1006" s="221"/>
      <c r="P1006" s="220"/>
      <c r="Q1006" s="381"/>
      <c r="R1006" s="222">
        <f t="shared" si="42"/>
        <v>0</v>
      </c>
      <c r="S1006" s="222"/>
      <c r="T1006" s="222"/>
      <c r="U1006" s="222"/>
      <c r="V1006" s="222"/>
    </row>
    <row r="1007" spans="1:22" ht="15.6" outlineLevel="1" x14ac:dyDescent="0.3">
      <c r="A1007" s="216"/>
      <c r="B1007" s="664"/>
      <c r="C1007" s="249"/>
      <c r="D1007" s="218"/>
      <c r="E1007" s="217" t="s">
        <v>574</v>
      </c>
      <c r="F1007" s="217" t="s">
        <v>519</v>
      </c>
      <c r="G1007" s="218"/>
      <c r="H1007" s="208" t="s">
        <v>520</v>
      </c>
      <c r="I1007" s="217"/>
      <c r="J1007" s="217"/>
      <c r="K1007" s="217"/>
      <c r="L1007" s="217"/>
      <c r="M1007" s="494"/>
      <c r="N1007" s="535"/>
      <c r="O1007" s="221"/>
      <c r="P1007" s="220"/>
      <c r="Q1007" s="381"/>
      <c r="R1007" s="222">
        <f t="shared" si="42"/>
        <v>0</v>
      </c>
      <c r="S1007" s="222"/>
      <c r="T1007" s="222"/>
      <c r="U1007" s="222"/>
      <c r="V1007" s="222"/>
    </row>
    <row r="1008" spans="1:22" ht="15.6" outlineLevel="1" x14ac:dyDescent="0.3">
      <c r="A1008" s="216"/>
      <c r="B1008" s="664"/>
      <c r="C1008" s="249"/>
      <c r="D1008" s="218"/>
      <c r="E1008" s="217" t="s">
        <v>574</v>
      </c>
      <c r="F1008" s="217" t="s">
        <v>519</v>
      </c>
      <c r="G1008" s="218"/>
      <c r="H1008" s="208" t="s">
        <v>520</v>
      </c>
      <c r="I1008" s="217"/>
      <c r="J1008" s="217"/>
      <c r="K1008" s="217"/>
      <c r="L1008" s="217"/>
      <c r="M1008" s="494"/>
      <c r="N1008" s="535"/>
      <c r="O1008" s="221"/>
      <c r="P1008" s="220"/>
      <c r="Q1008" s="381"/>
      <c r="R1008" s="222">
        <f t="shared" si="42"/>
        <v>0</v>
      </c>
      <c r="S1008" s="222"/>
      <c r="T1008" s="222"/>
      <c r="U1008" s="222"/>
      <c r="V1008" s="222"/>
    </row>
    <row r="1009" spans="1:22" ht="15.6" outlineLevel="1" x14ac:dyDescent="0.3">
      <c r="A1009" s="216"/>
      <c r="B1009" s="664"/>
      <c r="C1009" s="249"/>
      <c r="D1009" s="218"/>
      <c r="E1009" s="217" t="s">
        <v>574</v>
      </c>
      <c r="F1009" s="217" t="s">
        <v>519</v>
      </c>
      <c r="G1009" s="218"/>
      <c r="H1009" s="208" t="s">
        <v>520</v>
      </c>
      <c r="I1009" s="217"/>
      <c r="J1009" s="217"/>
      <c r="K1009" s="217"/>
      <c r="L1009" s="217"/>
      <c r="M1009" s="494"/>
      <c r="N1009" s="535"/>
      <c r="O1009" s="221"/>
      <c r="P1009" s="220"/>
      <c r="Q1009" s="381"/>
      <c r="R1009" s="222">
        <f t="shared" si="42"/>
        <v>0</v>
      </c>
      <c r="S1009" s="222"/>
      <c r="T1009" s="222"/>
      <c r="U1009" s="222"/>
      <c r="V1009" s="222"/>
    </row>
    <row r="1010" spans="1:22" ht="15.6" outlineLevel="1" x14ac:dyDescent="0.3">
      <c r="A1010" s="216"/>
      <c r="B1010" s="664"/>
      <c r="C1010" s="249"/>
      <c r="D1010" s="218"/>
      <c r="E1010" s="217" t="s">
        <v>574</v>
      </c>
      <c r="F1010" s="217" t="s">
        <v>519</v>
      </c>
      <c r="G1010" s="218"/>
      <c r="H1010" s="208" t="s">
        <v>520</v>
      </c>
      <c r="I1010" s="217"/>
      <c r="J1010" s="217"/>
      <c r="K1010" s="217"/>
      <c r="L1010" s="217"/>
      <c r="M1010" s="494"/>
      <c r="N1010" s="535"/>
      <c r="O1010" s="221"/>
      <c r="P1010" s="220"/>
      <c r="Q1010" s="381"/>
      <c r="R1010" s="222">
        <f t="shared" si="42"/>
        <v>0</v>
      </c>
      <c r="S1010" s="222"/>
      <c r="T1010" s="222"/>
      <c r="U1010" s="222"/>
      <c r="V1010" s="222"/>
    </row>
    <row r="1011" spans="1:22" ht="15.6" outlineLevel="1" x14ac:dyDescent="0.3">
      <c r="A1011" s="216"/>
      <c r="B1011" s="664"/>
      <c r="C1011" s="249"/>
      <c r="D1011" s="218"/>
      <c r="E1011" s="217" t="s">
        <v>574</v>
      </c>
      <c r="F1011" s="217" t="s">
        <v>519</v>
      </c>
      <c r="G1011" s="218"/>
      <c r="H1011" s="208" t="s">
        <v>520</v>
      </c>
      <c r="I1011" s="217"/>
      <c r="J1011" s="217"/>
      <c r="K1011" s="217"/>
      <c r="L1011" s="217"/>
      <c r="M1011" s="494"/>
      <c r="N1011" s="535"/>
      <c r="O1011" s="221"/>
      <c r="P1011" s="220"/>
      <c r="Q1011" s="381"/>
      <c r="R1011" s="222">
        <f t="shared" si="42"/>
        <v>0</v>
      </c>
      <c r="S1011" s="222"/>
      <c r="T1011" s="222"/>
      <c r="U1011" s="222"/>
      <c r="V1011" s="222"/>
    </row>
    <row r="1012" spans="1:22" ht="15.6" outlineLevel="1" x14ac:dyDescent="0.3">
      <c r="A1012" s="216"/>
      <c r="B1012" s="664"/>
      <c r="C1012" s="249"/>
      <c r="D1012" s="218"/>
      <c r="E1012" s="217" t="s">
        <v>574</v>
      </c>
      <c r="F1012" s="217" t="s">
        <v>519</v>
      </c>
      <c r="G1012" s="218"/>
      <c r="H1012" s="208" t="s">
        <v>520</v>
      </c>
      <c r="I1012" s="217"/>
      <c r="J1012" s="217"/>
      <c r="K1012" s="217"/>
      <c r="L1012" s="217"/>
      <c r="M1012" s="494"/>
      <c r="N1012" s="535"/>
      <c r="O1012" s="221"/>
      <c r="P1012" s="220"/>
      <c r="Q1012" s="381"/>
      <c r="R1012" s="222">
        <f t="shared" si="42"/>
        <v>0</v>
      </c>
      <c r="S1012" s="222"/>
      <c r="T1012" s="222"/>
      <c r="U1012" s="222"/>
      <c r="V1012" s="222"/>
    </row>
    <row r="1013" spans="1:22" ht="15.6" outlineLevel="1" x14ac:dyDescent="0.3">
      <c r="A1013" s="216"/>
      <c r="B1013" s="664"/>
      <c r="C1013" s="249"/>
      <c r="D1013" s="218"/>
      <c r="E1013" s="217" t="s">
        <v>574</v>
      </c>
      <c r="F1013" s="217" t="s">
        <v>519</v>
      </c>
      <c r="G1013" s="218"/>
      <c r="H1013" s="208" t="s">
        <v>520</v>
      </c>
      <c r="I1013" s="217"/>
      <c r="J1013" s="217"/>
      <c r="K1013" s="217"/>
      <c r="L1013" s="217"/>
      <c r="M1013" s="494"/>
      <c r="N1013" s="535"/>
      <c r="O1013" s="221"/>
      <c r="P1013" s="220"/>
      <c r="Q1013" s="381"/>
      <c r="R1013" s="222">
        <f t="shared" si="42"/>
        <v>0</v>
      </c>
      <c r="S1013" s="222"/>
      <c r="T1013" s="222"/>
      <c r="U1013" s="222"/>
      <c r="V1013" s="222"/>
    </row>
    <row r="1014" spans="1:22" ht="15.6" outlineLevel="1" x14ac:dyDescent="0.3">
      <c r="A1014" s="216"/>
      <c r="B1014" s="611"/>
      <c r="C1014" s="249"/>
      <c r="D1014" s="218"/>
      <c r="E1014" s="217" t="s">
        <v>574</v>
      </c>
      <c r="F1014" s="217" t="s">
        <v>519</v>
      </c>
      <c r="G1014" s="218"/>
      <c r="H1014" s="208" t="s">
        <v>520</v>
      </c>
      <c r="I1014" s="217"/>
      <c r="J1014" s="217"/>
      <c r="K1014" s="217"/>
      <c r="L1014" s="217"/>
      <c r="M1014" s="494"/>
      <c r="N1014" s="535"/>
      <c r="O1014" s="221"/>
      <c r="P1014" s="220"/>
      <c r="Q1014" s="381"/>
      <c r="R1014" s="222">
        <f t="shared" si="42"/>
        <v>0</v>
      </c>
      <c r="S1014" s="222"/>
      <c r="T1014" s="222"/>
      <c r="U1014" s="222"/>
      <c r="V1014" s="222"/>
    </row>
    <row r="1015" spans="1:22" ht="15.6" outlineLevel="1" x14ac:dyDescent="0.3">
      <c r="A1015" s="216"/>
      <c r="B1015" s="611"/>
      <c r="C1015" s="249"/>
      <c r="D1015" s="218"/>
      <c r="E1015" s="217" t="s">
        <v>574</v>
      </c>
      <c r="F1015" s="217" t="s">
        <v>519</v>
      </c>
      <c r="G1015" s="218"/>
      <c r="H1015" s="208" t="s">
        <v>520</v>
      </c>
      <c r="I1015" s="217"/>
      <c r="J1015" s="217"/>
      <c r="K1015" s="217"/>
      <c r="L1015" s="217"/>
      <c r="M1015" s="494"/>
      <c r="N1015" s="535"/>
      <c r="O1015" s="221"/>
      <c r="P1015" s="220"/>
      <c r="Q1015" s="381"/>
      <c r="R1015" s="222">
        <f t="shared" si="42"/>
        <v>0</v>
      </c>
      <c r="S1015" s="222"/>
      <c r="T1015" s="222"/>
      <c r="U1015" s="222"/>
      <c r="V1015" s="222"/>
    </row>
    <row r="1016" spans="1:22" ht="15.6" outlineLevel="1" x14ac:dyDescent="0.3">
      <c r="A1016" s="216"/>
      <c r="B1016" s="611"/>
      <c r="C1016" s="249"/>
      <c r="D1016" s="218"/>
      <c r="E1016" s="217" t="s">
        <v>574</v>
      </c>
      <c r="F1016" s="217" t="s">
        <v>519</v>
      </c>
      <c r="G1016" s="218"/>
      <c r="H1016" s="208" t="s">
        <v>520</v>
      </c>
      <c r="I1016" s="217"/>
      <c r="J1016" s="217"/>
      <c r="K1016" s="217"/>
      <c r="L1016" s="217"/>
      <c r="M1016" s="494"/>
      <c r="N1016" s="535"/>
      <c r="O1016" s="221"/>
      <c r="P1016" s="220"/>
      <c r="Q1016" s="381"/>
      <c r="R1016" s="222">
        <f t="shared" si="42"/>
        <v>0</v>
      </c>
      <c r="S1016" s="222"/>
      <c r="T1016" s="222"/>
      <c r="U1016" s="222"/>
      <c r="V1016" s="222"/>
    </row>
    <row r="1017" spans="1:22" ht="15.6" outlineLevel="1" x14ac:dyDescent="0.3">
      <c r="A1017" s="216"/>
      <c r="B1017" s="664"/>
      <c r="C1017" s="249"/>
      <c r="D1017" s="218"/>
      <c r="E1017" s="217" t="s">
        <v>574</v>
      </c>
      <c r="F1017" s="217" t="s">
        <v>519</v>
      </c>
      <c r="G1017" s="218"/>
      <c r="H1017" s="208" t="s">
        <v>520</v>
      </c>
      <c r="I1017" s="217"/>
      <c r="J1017" s="217"/>
      <c r="K1017" s="217"/>
      <c r="L1017" s="217"/>
      <c r="M1017" s="494"/>
      <c r="N1017" s="535"/>
      <c r="O1017" s="221"/>
      <c r="P1017" s="220"/>
      <c r="Q1017" s="381"/>
      <c r="R1017" s="222">
        <f t="shared" ref="R1017:R1037" si="43">SUM(S1017,T1017,U1017,V1017)</f>
        <v>0</v>
      </c>
      <c r="S1017" s="222"/>
      <c r="T1017" s="222"/>
      <c r="U1017" s="222"/>
      <c r="V1017" s="222"/>
    </row>
    <row r="1018" spans="1:22" ht="15.6" outlineLevel="1" x14ac:dyDescent="0.3">
      <c r="A1018" s="216"/>
      <c r="B1018" s="664"/>
      <c r="C1018" s="249"/>
      <c r="D1018" s="218"/>
      <c r="E1018" s="217" t="s">
        <v>574</v>
      </c>
      <c r="F1018" s="217" t="s">
        <v>519</v>
      </c>
      <c r="G1018" s="218"/>
      <c r="H1018" s="208" t="s">
        <v>520</v>
      </c>
      <c r="I1018" s="217"/>
      <c r="J1018" s="217"/>
      <c r="K1018" s="217"/>
      <c r="L1018" s="217"/>
      <c r="M1018" s="494"/>
      <c r="N1018" s="535"/>
      <c r="O1018" s="221"/>
      <c r="P1018" s="220"/>
      <c r="Q1018" s="381"/>
      <c r="R1018" s="222">
        <f t="shared" si="43"/>
        <v>0</v>
      </c>
      <c r="S1018" s="222"/>
      <c r="T1018" s="222"/>
      <c r="U1018" s="222"/>
      <c r="V1018" s="222"/>
    </row>
    <row r="1019" spans="1:22" ht="15.6" outlineLevel="1" x14ac:dyDescent="0.3">
      <c r="A1019" s="216"/>
      <c r="B1019" s="664"/>
      <c r="C1019" s="249"/>
      <c r="D1019" s="218"/>
      <c r="E1019" s="217" t="s">
        <v>574</v>
      </c>
      <c r="F1019" s="217" t="s">
        <v>519</v>
      </c>
      <c r="G1019" s="218"/>
      <c r="H1019" s="208" t="s">
        <v>520</v>
      </c>
      <c r="I1019" s="217"/>
      <c r="J1019" s="217"/>
      <c r="K1019" s="217"/>
      <c r="L1019" s="217"/>
      <c r="M1019" s="494"/>
      <c r="N1019" s="535"/>
      <c r="O1019" s="221"/>
      <c r="P1019" s="220"/>
      <c r="Q1019" s="381"/>
      <c r="R1019" s="222">
        <f t="shared" si="43"/>
        <v>0</v>
      </c>
      <c r="S1019" s="222"/>
      <c r="T1019" s="222"/>
      <c r="U1019" s="222"/>
      <c r="V1019" s="222"/>
    </row>
    <row r="1020" spans="1:22" ht="15.6" outlineLevel="1" x14ac:dyDescent="0.3">
      <c r="A1020" s="216"/>
      <c r="B1020" s="611"/>
      <c r="C1020" s="249"/>
      <c r="D1020" s="218"/>
      <c r="E1020" s="217" t="s">
        <v>574</v>
      </c>
      <c r="F1020" s="217" t="s">
        <v>519</v>
      </c>
      <c r="G1020" s="218"/>
      <c r="H1020" s="208" t="s">
        <v>520</v>
      </c>
      <c r="I1020" s="217"/>
      <c r="J1020" s="217"/>
      <c r="K1020" s="217"/>
      <c r="L1020" s="217"/>
      <c r="M1020" s="494"/>
      <c r="N1020" s="535"/>
      <c r="O1020" s="221"/>
      <c r="P1020" s="220"/>
      <c r="Q1020" s="381"/>
      <c r="R1020" s="222">
        <f t="shared" si="43"/>
        <v>0</v>
      </c>
      <c r="S1020" s="222"/>
      <c r="T1020" s="222"/>
      <c r="U1020" s="222"/>
      <c r="V1020" s="222"/>
    </row>
    <row r="1021" spans="1:22" ht="15.6" outlineLevel="1" x14ac:dyDescent="0.3">
      <c r="A1021" s="216"/>
      <c r="B1021" s="611"/>
      <c r="C1021" s="249"/>
      <c r="D1021" s="218"/>
      <c r="E1021" s="217" t="s">
        <v>574</v>
      </c>
      <c r="F1021" s="217" t="s">
        <v>519</v>
      </c>
      <c r="G1021" s="218"/>
      <c r="H1021" s="208" t="s">
        <v>520</v>
      </c>
      <c r="I1021" s="217"/>
      <c r="J1021" s="217"/>
      <c r="K1021" s="217"/>
      <c r="L1021" s="217"/>
      <c r="M1021" s="494"/>
      <c r="N1021" s="535"/>
      <c r="O1021" s="221"/>
      <c r="P1021" s="220"/>
      <c r="Q1021" s="381"/>
      <c r="R1021" s="222">
        <f t="shared" si="43"/>
        <v>0</v>
      </c>
      <c r="S1021" s="222"/>
      <c r="T1021" s="222"/>
      <c r="U1021" s="222"/>
      <c r="V1021" s="222"/>
    </row>
    <row r="1022" spans="1:22" ht="15.6" outlineLevel="1" x14ac:dyDescent="0.3">
      <c r="A1022" s="216"/>
      <c r="B1022" s="611"/>
      <c r="C1022" s="249"/>
      <c r="D1022" s="218"/>
      <c r="E1022" s="217" t="s">
        <v>574</v>
      </c>
      <c r="F1022" s="217" t="s">
        <v>519</v>
      </c>
      <c r="G1022" s="218"/>
      <c r="H1022" s="208" t="s">
        <v>520</v>
      </c>
      <c r="I1022" s="217"/>
      <c r="J1022" s="217"/>
      <c r="K1022" s="217"/>
      <c r="L1022" s="217"/>
      <c r="M1022" s="494"/>
      <c r="N1022" s="535"/>
      <c r="O1022" s="221"/>
      <c r="P1022" s="220"/>
      <c r="Q1022" s="381"/>
      <c r="R1022" s="222">
        <f t="shared" si="43"/>
        <v>0</v>
      </c>
      <c r="S1022" s="222"/>
      <c r="T1022" s="222"/>
      <c r="U1022" s="222"/>
      <c r="V1022" s="222"/>
    </row>
    <row r="1023" spans="1:22" ht="15.6" outlineLevel="1" x14ac:dyDescent="0.3">
      <c r="A1023" s="341"/>
      <c r="B1023" s="230"/>
      <c r="C1023" s="249"/>
      <c r="D1023" s="218"/>
      <c r="E1023" s="217" t="s">
        <v>574</v>
      </c>
      <c r="F1023" s="217" t="s">
        <v>519</v>
      </c>
      <c r="G1023" s="218"/>
      <c r="H1023" s="208" t="s">
        <v>520</v>
      </c>
      <c r="I1023" s="342"/>
      <c r="J1023" s="342"/>
      <c r="K1023" s="342"/>
      <c r="L1023" s="346"/>
      <c r="M1023" s="511"/>
      <c r="N1023" s="541"/>
      <c r="O1023" s="221"/>
      <c r="P1023" s="220"/>
      <c r="Q1023" s="381"/>
      <c r="R1023" s="222">
        <f t="shared" si="43"/>
        <v>0</v>
      </c>
      <c r="S1023" s="222"/>
      <c r="T1023" s="222"/>
      <c r="U1023" s="222"/>
      <c r="V1023" s="222"/>
    </row>
    <row r="1024" spans="1:22" ht="15.6" outlineLevel="1" x14ac:dyDescent="0.3">
      <c r="A1024" s="216"/>
      <c r="B1024" s="664"/>
      <c r="C1024" s="249"/>
      <c r="D1024" s="218"/>
      <c r="E1024" s="217" t="s">
        <v>574</v>
      </c>
      <c r="F1024" s="217" t="s">
        <v>519</v>
      </c>
      <c r="G1024" s="218"/>
      <c r="H1024" s="208" t="s">
        <v>520</v>
      </c>
      <c r="I1024" s="217"/>
      <c r="J1024" s="217"/>
      <c r="K1024" s="217"/>
      <c r="L1024" s="217"/>
      <c r="M1024" s="494"/>
      <c r="N1024" s="535"/>
      <c r="O1024" s="221"/>
      <c r="P1024" s="220"/>
      <c r="Q1024" s="381"/>
      <c r="R1024" s="222">
        <f t="shared" si="43"/>
        <v>0</v>
      </c>
      <c r="S1024" s="222"/>
      <c r="T1024" s="222"/>
      <c r="U1024" s="222"/>
      <c r="V1024" s="222"/>
    </row>
    <row r="1025" spans="1:30" ht="15.6" outlineLevel="1" x14ac:dyDescent="0.3">
      <c r="A1025" s="216"/>
      <c r="B1025" s="664"/>
      <c r="C1025" s="249"/>
      <c r="D1025" s="218"/>
      <c r="E1025" s="217" t="s">
        <v>574</v>
      </c>
      <c r="F1025" s="217" t="s">
        <v>519</v>
      </c>
      <c r="G1025" s="218"/>
      <c r="H1025" s="208" t="s">
        <v>520</v>
      </c>
      <c r="I1025" s="217"/>
      <c r="J1025" s="217"/>
      <c r="K1025" s="217"/>
      <c r="L1025" s="217"/>
      <c r="M1025" s="494"/>
      <c r="N1025" s="535"/>
      <c r="O1025" s="221"/>
      <c r="P1025" s="220"/>
      <c r="Q1025" s="381"/>
      <c r="R1025" s="222">
        <f t="shared" si="43"/>
        <v>0</v>
      </c>
      <c r="S1025" s="222"/>
      <c r="T1025" s="222"/>
      <c r="U1025" s="222"/>
      <c r="V1025" s="222"/>
    </row>
    <row r="1026" spans="1:30" ht="15.6" outlineLevel="1" x14ac:dyDescent="0.3">
      <c r="A1026" s="216"/>
      <c r="B1026" s="664"/>
      <c r="C1026" s="249"/>
      <c r="D1026" s="218"/>
      <c r="E1026" s="217" t="s">
        <v>574</v>
      </c>
      <c r="F1026" s="217" t="s">
        <v>519</v>
      </c>
      <c r="G1026" s="218"/>
      <c r="H1026" s="208" t="s">
        <v>520</v>
      </c>
      <c r="I1026" s="217"/>
      <c r="J1026" s="217"/>
      <c r="K1026" s="217"/>
      <c r="L1026" s="217"/>
      <c r="M1026" s="494"/>
      <c r="N1026" s="535"/>
      <c r="O1026" s="221"/>
      <c r="P1026" s="220"/>
      <c r="Q1026" s="381"/>
      <c r="R1026" s="222">
        <f t="shared" si="43"/>
        <v>0</v>
      </c>
      <c r="S1026" s="222"/>
      <c r="T1026" s="222"/>
      <c r="U1026" s="222"/>
      <c r="V1026" s="222"/>
    </row>
    <row r="1027" spans="1:30" ht="15.6" outlineLevel="1" x14ac:dyDescent="0.3">
      <c r="A1027" s="216"/>
      <c r="B1027" s="664"/>
      <c r="C1027" s="249"/>
      <c r="D1027" s="218"/>
      <c r="E1027" s="217" t="s">
        <v>574</v>
      </c>
      <c r="F1027" s="217" t="s">
        <v>519</v>
      </c>
      <c r="G1027" s="218"/>
      <c r="H1027" s="208" t="s">
        <v>520</v>
      </c>
      <c r="I1027" s="217"/>
      <c r="J1027" s="217"/>
      <c r="K1027" s="217"/>
      <c r="L1027" s="217"/>
      <c r="M1027" s="494"/>
      <c r="N1027" s="535"/>
      <c r="O1027" s="221"/>
      <c r="P1027" s="220"/>
      <c r="Q1027" s="381"/>
      <c r="R1027" s="222">
        <f t="shared" si="43"/>
        <v>0</v>
      </c>
      <c r="S1027" s="222"/>
      <c r="T1027" s="222"/>
      <c r="U1027" s="222"/>
      <c r="V1027" s="222"/>
    </row>
    <row r="1028" spans="1:30" ht="15.6" outlineLevel="1" x14ac:dyDescent="0.3">
      <c r="A1028" s="216"/>
      <c r="B1028" s="664"/>
      <c r="C1028" s="249"/>
      <c r="D1028" s="218"/>
      <c r="E1028" s="217" t="s">
        <v>574</v>
      </c>
      <c r="F1028" s="217" t="s">
        <v>519</v>
      </c>
      <c r="G1028" s="218"/>
      <c r="H1028" s="208" t="s">
        <v>520</v>
      </c>
      <c r="I1028" s="217"/>
      <c r="J1028" s="217"/>
      <c r="K1028" s="217"/>
      <c r="L1028" s="217"/>
      <c r="M1028" s="494"/>
      <c r="N1028" s="535"/>
      <c r="O1028" s="221"/>
      <c r="P1028" s="220"/>
      <c r="Q1028" s="381"/>
      <c r="R1028" s="222">
        <f t="shared" si="43"/>
        <v>0</v>
      </c>
      <c r="S1028" s="222"/>
      <c r="T1028" s="222"/>
      <c r="U1028" s="222"/>
      <c r="V1028" s="222"/>
    </row>
    <row r="1029" spans="1:30" ht="15.6" outlineLevel="1" x14ac:dyDescent="0.3">
      <c r="A1029" s="216"/>
      <c r="B1029" s="664"/>
      <c r="C1029" s="252"/>
      <c r="D1029" s="218"/>
      <c r="E1029" s="217" t="s">
        <v>574</v>
      </c>
      <c r="F1029" s="217" t="s">
        <v>519</v>
      </c>
      <c r="G1029" s="218"/>
      <c r="H1029" s="208" t="s">
        <v>520</v>
      </c>
      <c r="I1029" s="217"/>
      <c r="J1029" s="217"/>
      <c r="K1029" s="217"/>
      <c r="L1029" s="217"/>
      <c r="M1029" s="494"/>
      <c r="N1029" s="535"/>
      <c r="O1029" s="221"/>
      <c r="P1029" s="220"/>
      <c r="Q1029" s="381"/>
      <c r="R1029" s="222">
        <f t="shared" si="43"/>
        <v>0</v>
      </c>
      <c r="S1029" s="222"/>
      <c r="T1029" s="222"/>
      <c r="U1029" s="222"/>
      <c r="V1029" s="222"/>
    </row>
    <row r="1030" spans="1:30" ht="15.6" outlineLevel="1" x14ac:dyDescent="0.3">
      <c r="A1030" s="216"/>
      <c r="B1030" s="664"/>
      <c r="C1030" s="252"/>
      <c r="D1030" s="218"/>
      <c r="E1030" s="217" t="s">
        <v>574</v>
      </c>
      <c r="F1030" s="217" t="s">
        <v>519</v>
      </c>
      <c r="G1030" s="218"/>
      <c r="H1030" s="208" t="s">
        <v>520</v>
      </c>
      <c r="I1030" s="217"/>
      <c r="J1030" s="217"/>
      <c r="K1030" s="217"/>
      <c r="L1030" s="217"/>
      <c r="M1030" s="494"/>
      <c r="N1030" s="535"/>
      <c r="O1030" s="221"/>
      <c r="P1030" s="220"/>
      <c r="Q1030" s="381"/>
      <c r="R1030" s="222">
        <f t="shared" si="43"/>
        <v>0</v>
      </c>
      <c r="S1030" s="222"/>
      <c r="T1030" s="222"/>
      <c r="U1030" s="222"/>
      <c r="V1030" s="222"/>
    </row>
    <row r="1031" spans="1:30" ht="15.6" outlineLevel="1" x14ac:dyDescent="0.3">
      <c r="A1031" s="216"/>
      <c r="B1031" s="664"/>
      <c r="C1031" s="252"/>
      <c r="D1031" s="218"/>
      <c r="E1031" s="217" t="s">
        <v>574</v>
      </c>
      <c r="F1031" s="217" t="s">
        <v>519</v>
      </c>
      <c r="G1031" s="218"/>
      <c r="H1031" s="208" t="s">
        <v>520</v>
      </c>
      <c r="I1031" s="217"/>
      <c r="J1031" s="217"/>
      <c r="K1031" s="217"/>
      <c r="L1031" s="217"/>
      <c r="M1031" s="494"/>
      <c r="N1031" s="535"/>
      <c r="O1031" s="221"/>
      <c r="P1031" s="220"/>
      <c r="Q1031" s="381"/>
      <c r="R1031" s="222">
        <f t="shared" si="43"/>
        <v>0</v>
      </c>
      <c r="S1031" s="222"/>
      <c r="T1031" s="222"/>
      <c r="U1031" s="222"/>
      <c r="V1031" s="222"/>
    </row>
    <row r="1032" spans="1:30" ht="15.6" outlineLevel="1" x14ac:dyDescent="0.3">
      <c r="A1032" s="216"/>
      <c r="B1032" s="664"/>
      <c r="C1032" s="252"/>
      <c r="D1032" s="218"/>
      <c r="E1032" s="217" t="s">
        <v>574</v>
      </c>
      <c r="F1032" s="217" t="s">
        <v>519</v>
      </c>
      <c r="G1032" s="218"/>
      <c r="H1032" s="208" t="s">
        <v>520</v>
      </c>
      <c r="I1032" s="217"/>
      <c r="J1032" s="217"/>
      <c r="K1032" s="217"/>
      <c r="L1032" s="217"/>
      <c r="M1032" s="494"/>
      <c r="N1032" s="535"/>
      <c r="O1032" s="221"/>
      <c r="P1032" s="220"/>
      <c r="Q1032" s="381"/>
      <c r="R1032" s="222">
        <f t="shared" si="43"/>
        <v>0</v>
      </c>
      <c r="S1032" s="222"/>
      <c r="T1032" s="222"/>
      <c r="U1032" s="222"/>
      <c r="V1032" s="222"/>
    </row>
    <row r="1033" spans="1:30" ht="15.6" outlineLevel="1" x14ac:dyDescent="0.3">
      <c r="A1033" s="216"/>
      <c r="B1033" s="664"/>
      <c r="C1033" s="252"/>
      <c r="D1033" s="218"/>
      <c r="E1033" s="217" t="s">
        <v>574</v>
      </c>
      <c r="F1033" s="217" t="s">
        <v>519</v>
      </c>
      <c r="G1033" s="218"/>
      <c r="H1033" s="208" t="s">
        <v>520</v>
      </c>
      <c r="I1033" s="217"/>
      <c r="J1033" s="217"/>
      <c r="K1033" s="217"/>
      <c r="L1033" s="217"/>
      <c r="M1033" s="494"/>
      <c r="N1033" s="535"/>
      <c r="O1033" s="221"/>
      <c r="P1033" s="220"/>
      <c r="Q1033" s="381"/>
      <c r="R1033" s="222">
        <f t="shared" si="43"/>
        <v>0</v>
      </c>
      <c r="S1033" s="222"/>
      <c r="T1033" s="222"/>
      <c r="U1033" s="222"/>
      <c r="V1033" s="222"/>
    </row>
    <row r="1034" spans="1:30" ht="15.6" outlineLevel="1" x14ac:dyDescent="0.3">
      <c r="A1034" s="216"/>
      <c r="B1034" s="664"/>
      <c r="C1034" s="249"/>
      <c r="D1034" s="218"/>
      <c r="E1034" s="217" t="s">
        <v>574</v>
      </c>
      <c r="F1034" s="217" t="s">
        <v>519</v>
      </c>
      <c r="G1034" s="218"/>
      <c r="H1034" s="208" t="s">
        <v>520</v>
      </c>
      <c r="I1034" s="217"/>
      <c r="J1034" s="217"/>
      <c r="K1034" s="217"/>
      <c r="L1034" s="217"/>
      <c r="M1034" s="494"/>
      <c r="N1034" s="535"/>
      <c r="O1034" s="221"/>
      <c r="P1034" s="220"/>
      <c r="Q1034" s="381"/>
      <c r="R1034" s="222">
        <f t="shared" si="43"/>
        <v>0</v>
      </c>
      <c r="S1034" s="222"/>
      <c r="T1034" s="222"/>
      <c r="U1034" s="222"/>
      <c r="V1034" s="222"/>
    </row>
    <row r="1035" spans="1:30" ht="15.6" outlineLevel="1" x14ac:dyDescent="0.3">
      <c r="A1035" s="216"/>
      <c r="B1035" s="611"/>
      <c r="C1035" s="252"/>
      <c r="D1035" s="218"/>
      <c r="E1035" s="217" t="s">
        <v>574</v>
      </c>
      <c r="F1035" s="217" t="s">
        <v>519</v>
      </c>
      <c r="G1035" s="218"/>
      <c r="H1035" s="208" t="s">
        <v>520</v>
      </c>
      <c r="I1035" s="217"/>
      <c r="J1035" s="217"/>
      <c r="K1035" s="217"/>
      <c r="L1035" s="217"/>
      <c r="M1035" s="494"/>
      <c r="N1035" s="535"/>
      <c r="O1035" s="221"/>
      <c r="P1035" s="220"/>
      <c r="Q1035" s="381"/>
      <c r="R1035" s="222">
        <f t="shared" si="43"/>
        <v>0</v>
      </c>
      <c r="S1035" s="222"/>
      <c r="T1035" s="222"/>
      <c r="U1035" s="222"/>
      <c r="V1035" s="222"/>
    </row>
    <row r="1036" spans="1:30" ht="15.6" outlineLevel="1" x14ac:dyDescent="0.3">
      <c r="A1036" s="216"/>
      <c r="B1036" s="611"/>
      <c r="C1036" s="252"/>
      <c r="D1036" s="218"/>
      <c r="E1036" s="217" t="s">
        <v>574</v>
      </c>
      <c r="F1036" s="217" t="s">
        <v>519</v>
      </c>
      <c r="G1036" s="218"/>
      <c r="H1036" s="208" t="s">
        <v>520</v>
      </c>
      <c r="I1036" s="217"/>
      <c r="J1036" s="217"/>
      <c r="K1036" s="217"/>
      <c r="L1036" s="217"/>
      <c r="M1036" s="494"/>
      <c r="N1036" s="535"/>
      <c r="O1036" s="221"/>
      <c r="P1036" s="220"/>
      <c r="Q1036" s="381"/>
      <c r="R1036" s="222">
        <f t="shared" si="43"/>
        <v>0</v>
      </c>
      <c r="S1036" s="222"/>
      <c r="T1036" s="222"/>
      <c r="U1036" s="222"/>
      <c r="V1036" s="222"/>
    </row>
    <row r="1037" spans="1:30" ht="15.6" outlineLevel="1" x14ac:dyDescent="0.3">
      <c r="A1037" s="216"/>
      <c r="B1037" s="611"/>
      <c r="C1037" s="252"/>
      <c r="D1037" s="218"/>
      <c r="E1037" s="217" t="s">
        <v>574</v>
      </c>
      <c r="F1037" s="217" t="s">
        <v>519</v>
      </c>
      <c r="G1037" s="218"/>
      <c r="H1037" s="208" t="s">
        <v>520</v>
      </c>
      <c r="I1037" s="217"/>
      <c r="J1037" s="217"/>
      <c r="K1037" s="217"/>
      <c r="L1037" s="217"/>
      <c r="M1037" s="494"/>
      <c r="N1037" s="535"/>
      <c r="O1037" s="221"/>
      <c r="P1037" s="220"/>
      <c r="Q1037" s="381"/>
      <c r="R1037" s="222">
        <f t="shared" si="43"/>
        <v>0</v>
      </c>
      <c r="S1037" s="222"/>
      <c r="T1037" s="222"/>
      <c r="U1037" s="222"/>
      <c r="V1037" s="222"/>
    </row>
    <row r="1038" spans="1:30" s="45" customFormat="1" ht="16.2" x14ac:dyDescent="0.35">
      <c r="A1038" s="231" t="s">
        <v>677</v>
      </c>
      <c r="B1038" s="232"/>
      <c r="C1038" s="232"/>
      <c r="D1038" s="232"/>
      <c r="E1038" s="232"/>
      <c r="F1038" s="258"/>
      <c r="G1038" s="259"/>
      <c r="H1038" s="232"/>
      <c r="I1038" s="260"/>
      <c r="J1038" s="258"/>
      <c r="K1038" s="232"/>
      <c r="L1038" s="232"/>
      <c r="M1038" s="495"/>
      <c r="N1038" s="536" t="s">
        <v>249</v>
      </c>
      <c r="O1038" s="350">
        <v>244</v>
      </c>
      <c r="P1038" s="351">
        <v>346</v>
      </c>
      <c r="Q1038" s="386"/>
      <c r="R1038" s="229">
        <f>SUM(R1039:R1083)</f>
        <v>0</v>
      </c>
      <c r="S1038" s="229">
        <f>SUM(S1039:S1083)</f>
        <v>0</v>
      </c>
      <c r="T1038" s="229">
        <f>SUM(T1039:T1083)</f>
        <v>0</v>
      </c>
      <c r="U1038" s="229">
        <f>SUM(U1039:U1083)</f>
        <v>0</v>
      </c>
      <c r="V1038" s="229">
        <f>SUM(V1039:V1083)</f>
        <v>0</v>
      </c>
      <c r="AC1038" s="414"/>
      <c r="AD1038" s="471"/>
    </row>
    <row r="1039" spans="1:30" s="45" customFormat="1" ht="18" outlineLevel="1" x14ac:dyDescent="0.35">
      <c r="A1039" s="345"/>
      <c r="B1039" s="353"/>
      <c r="C1039" s="252"/>
      <c r="D1039" s="218"/>
      <c r="E1039" s="217" t="s">
        <v>574</v>
      </c>
      <c r="F1039" s="280" t="s">
        <v>519</v>
      </c>
      <c r="G1039" s="218"/>
      <c r="H1039" s="208" t="s">
        <v>520</v>
      </c>
      <c r="I1039" s="280"/>
      <c r="J1039" s="259"/>
      <c r="K1039" s="208"/>
      <c r="L1039" s="488"/>
      <c r="M1039" s="514"/>
      <c r="N1039" s="542"/>
      <c r="O1039" s="354"/>
      <c r="P1039" s="355"/>
      <c r="Q1039" s="387"/>
      <c r="R1039" s="222">
        <f>SUM(S1039,T1039,U1039,V1039)</f>
        <v>0</v>
      </c>
      <c r="S1039" s="222"/>
      <c r="T1039" s="222"/>
      <c r="U1039" s="222"/>
      <c r="V1039" s="222"/>
      <c r="AC1039" s="414"/>
      <c r="AD1039" s="471"/>
    </row>
    <row r="1040" spans="1:30" ht="15.6" outlineLevel="1" x14ac:dyDescent="0.3">
      <c r="A1040" s="345"/>
      <c r="B1040" s="353"/>
      <c r="C1040" s="252"/>
      <c r="D1040" s="218"/>
      <c r="E1040" s="217" t="s">
        <v>574</v>
      </c>
      <c r="F1040" s="280" t="s">
        <v>519</v>
      </c>
      <c r="G1040" s="218"/>
      <c r="H1040" s="208" t="s">
        <v>520</v>
      </c>
      <c r="I1040" s="280"/>
      <c r="J1040" s="259"/>
      <c r="K1040" s="208"/>
      <c r="L1040" s="217"/>
      <c r="M1040" s="494"/>
      <c r="N1040" s="535"/>
      <c r="O1040" s="221"/>
      <c r="P1040" s="220"/>
      <c r="Q1040" s="381"/>
      <c r="R1040" s="222">
        <f>SUM(S1040,T1040,U1040,V1040)</f>
        <v>0</v>
      </c>
      <c r="S1040" s="222"/>
      <c r="T1040" s="222"/>
      <c r="U1040" s="222"/>
      <c r="V1040" s="222"/>
    </row>
    <row r="1041" spans="1:22" ht="15.6" outlineLevel="1" x14ac:dyDescent="0.3">
      <c r="A1041" s="345"/>
      <c r="B1041" s="353"/>
      <c r="C1041" s="252"/>
      <c r="D1041" s="218"/>
      <c r="E1041" s="217" t="s">
        <v>574</v>
      </c>
      <c r="F1041" s="280" t="s">
        <v>519</v>
      </c>
      <c r="G1041" s="218"/>
      <c r="H1041" s="208" t="s">
        <v>520</v>
      </c>
      <c r="I1041" s="280"/>
      <c r="J1041" s="259"/>
      <c r="K1041" s="208"/>
      <c r="L1041" s="217"/>
      <c r="M1041" s="494"/>
      <c r="N1041" s="535"/>
      <c r="O1041" s="221"/>
      <c r="P1041" s="220"/>
      <c r="Q1041" s="381"/>
      <c r="R1041" s="222">
        <f>SUM(S1041,T1041,U1041,V1041)</f>
        <v>0</v>
      </c>
      <c r="S1041" s="222"/>
      <c r="T1041" s="222"/>
      <c r="U1041" s="222"/>
      <c r="V1041" s="222"/>
    </row>
    <row r="1042" spans="1:22" ht="15.6" outlineLevel="1" x14ac:dyDescent="0.3">
      <c r="A1042" s="345"/>
      <c r="B1042" s="353"/>
      <c r="C1042" s="252"/>
      <c r="D1042" s="218"/>
      <c r="E1042" s="217" t="s">
        <v>574</v>
      </c>
      <c r="F1042" s="280" t="s">
        <v>519</v>
      </c>
      <c r="G1042" s="218"/>
      <c r="H1042" s="208" t="s">
        <v>520</v>
      </c>
      <c r="I1042" s="280"/>
      <c r="J1042" s="259"/>
      <c r="K1042" s="208"/>
      <c r="L1042" s="217"/>
      <c r="M1042" s="494"/>
      <c r="N1042" s="535"/>
      <c r="O1042" s="221"/>
      <c r="P1042" s="220"/>
      <c r="Q1042" s="381"/>
      <c r="R1042" s="222">
        <f>SUM(S1042,T1042,U1042,V1042)</f>
        <v>0</v>
      </c>
      <c r="S1042" s="222"/>
      <c r="T1042" s="222"/>
      <c r="U1042" s="222"/>
      <c r="V1042" s="222"/>
    </row>
    <row r="1043" spans="1:22" ht="15.6" outlineLevel="1" x14ac:dyDescent="0.3">
      <c r="A1043" s="345"/>
      <c r="B1043" s="353"/>
      <c r="C1043" s="252"/>
      <c r="D1043" s="218"/>
      <c r="E1043" s="217" t="s">
        <v>574</v>
      </c>
      <c r="F1043" s="280" t="s">
        <v>519</v>
      </c>
      <c r="G1043" s="218"/>
      <c r="H1043" s="208" t="s">
        <v>520</v>
      </c>
      <c r="I1043" s="280"/>
      <c r="J1043" s="259"/>
      <c r="K1043" s="208"/>
      <c r="L1043" s="217"/>
      <c r="M1043" s="494"/>
      <c r="N1043" s="535"/>
      <c r="O1043" s="221"/>
      <c r="P1043" s="220"/>
      <c r="Q1043" s="381"/>
      <c r="R1043" s="222">
        <f>SUM(S1043,T1043,U1043,V1043)</f>
        <v>0</v>
      </c>
      <c r="S1043" s="222"/>
      <c r="T1043" s="222"/>
      <c r="U1043" s="222"/>
      <c r="V1043" s="222"/>
    </row>
    <row r="1044" spans="1:22" ht="15.6" outlineLevel="1" x14ac:dyDescent="0.3">
      <c r="A1044" s="345"/>
      <c r="B1044" s="353"/>
      <c r="C1044" s="252"/>
      <c r="D1044" s="218"/>
      <c r="E1044" s="217" t="s">
        <v>574</v>
      </c>
      <c r="F1044" s="280" t="s">
        <v>519</v>
      </c>
      <c r="G1044" s="218"/>
      <c r="H1044" s="208" t="s">
        <v>520</v>
      </c>
      <c r="I1044" s="280"/>
      <c r="J1044" s="259"/>
      <c r="K1044" s="208"/>
      <c r="L1044" s="217"/>
      <c r="M1044" s="494"/>
      <c r="N1044" s="535"/>
      <c r="O1044" s="221"/>
      <c r="P1044" s="220"/>
      <c r="Q1044" s="381"/>
      <c r="R1044" s="222">
        <f t="shared" ref="R1044:R1058" si="44">SUM(S1044,T1044,U1044,V1044)</f>
        <v>0</v>
      </c>
      <c r="S1044" s="222"/>
      <c r="T1044" s="222"/>
      <c r="U1044" s="222"/>
      <c r="V1044" s="222"/>
    </row>
    <row r="1045" spans="1:22" ht="15.6" outlineLevel="1" x14ac:dyDescent="0.3">
      <c r="A1045" s="345"/>
      <c r="B1045" s="353"/>
      <c r="C1045" s="252"/>
      <c r="D1045" s="218"/>
      <c r="E1045" s="217" t="s">
        <v>574</v>
      </c>
      <c r="F1045" s="280" t="s">
        <v>519</v>
      </c>
      <c r="G1045" s="218"/>
      <c r="H1045" s="208" t="s">
        <v>520</v>
      </c>
      <c r="I1045" s="280"/>
      <c r="J1045" s="259"/>
      <c r="K1045" s="208"/>
      <c r="L1045" s="217"/>
      <c r="M1045" s="494"/>
      <c r="N1045" s="535"/>
      <c r="O1045" s="221"/>
      <c r="P1045" s="220"/>
      <c r="Q1045" s="381"/>
      <c r="R1045" s="222">
        <f t="shared" si="44"/>
        <v>0</v>
      </c>
      <c r="S1045" s="222"/>
      <c r="T1045" s="222"/>
      <c r="U1045" s="222"/>
      <c r="V1045" s="222"/>
    </row>
    <row r="1046" spans="1:22" ht="15.6" outlineLevel="1" x14ac:dyDescent="0.3">
      <c r="A1046" s="345"/>
      <c r="B1046" s="353"/>
      <c r="C1046" s="252"/>
      <c r="D1046" s="218"/>
      <c r="E1046" s="217" t="s">
        <v>574</v>
      </c>
      <c r="F1046" s="280" t="s">
        <v>519</v>
      </c>
      <c r="G1046" s="218"/>
      <c r="H1046" s="208" t="s">
        <v>520</v>
      </c>
      <c r="I1046" s="280"/>
      <c r="J1046" s="259"/>
      <c r="K1046" s="208"/>
      <c r="L1046" s="217"/>
      <c r="M1046" s="494"/>
      <c r="N1046" s="535"/>
      <c r="O1046" s="221"/>
      <c r="P1046" s="220"/>
      <c r="Q1046" s="381"/>
      <c r="R1046" s="222">
        <f t="shared" si="44"/>
        <v>0</v>
      </c>
      <c r="S1046" s="222"/>
      <c r="T1046" s="222"/>
      <c r="U1046" s="222"/>
      <c r="V1046" s="222"/>
    </row>
    <row r="1047" spans="1:22" ht="15.6" outlineLevel="1" x14ac:dyDescent="0.3">
      <c r="A1047" s="345"/>
      <c r="B1047" s="353"/>
      <c r="C1047" s="252"/>
      <c r="D1047" s="218"/>
      <c r="E1047" s="217" t="s">
        <v>574</v>
      </c>
      <c r="F1047" s="280" t="s">
        <v>519</v>
      </c>
      <c r="G1047" s="218"/>
      <c r="H1047" s="208" t="s">
        <v>520</v>
      </c>
      <c r="I1047" s="280"/>
      <c r="J1047" s="259"/>
      <c r="K1047" s="208"/>
      <c r="L1047" s="217"/>
      <c r="M1047" s="494"/>
      <c r="N1047" s="535"/>
      <c r="O1047" s="221"/>
      <c r="P1047" s="220"/>
      <c r="Q1047" s="381"/>
      <c r="R1047" s="222">
        <f t="shared" si="44"/>
        <v>0</v>
      </c>
      <c r="S1047" s="222"/>
      <c r="T1047" s="222"/>
      <c r="U1047" s="222"/>
      <c r="V1047" s="222"/>
    </row>
    <row r="1048" spans="1:22" ht="15.6" outlineLevel="1" x14ac:dyDescent="0.3">
      <c r="A1048" s="345"/>
      <c r="B1048" s="353"/>
      <c r="C1048" s="252"/>
      <c r="D1048" s="218"/>
      <c r="E1048" s="217" t="s">
        <v>574</v>
      </c>
      <c r="F1048" s="280" t="s">
        <v>519</v>
      </c>
      <c r="G1048" s="218"/>
      <c r="H1048" s="208" t="s">
        <v>520</v>
      </c>
      <c r="I1048" s="280"/>
      <c r="J1048" s="259"/>
      <c r="K1048" s="208"/>
      <c r="L1048" s="217"/>
      <c r="M1048" s="494"/>
      <c r="N1048" s="535"/>
      <c r="O1048" s="221"/>
      <c r="P1048" s="220"/>
      <c r="Q1048" s="381"/>
      <c r="R1048" s="222">
        <f t="shared" si="44"/>
        <v>0</v>
      </c>
      <c r="S1048" s="222"/>
      <c r="T1048" s="222"/>
      <c r="U1048" s="222"/>
      <c r="V1048" s="222"/>
    </row>
    <row r="1049" spans="1:22" ht="15.6" outlineLevel="1" x14ac:dyDescent="0.3">
      <c r="A1049" s="345"/>
      <c r="B1049" s="353"/>
      <c r="C1049" s="252"/>
      <c r="D1049" s="218"/>
      <c r="E1049" s="217" t="s">
        <v>574</v>
      </c>
      <c r="F1049" s="280" t="s">
        <v>519</v>
      </c>
      <c r="G1049" s="218"/>
      <c r="H1049" s="208" t="s">
        <v>520</v>
      </c>
      <c r="I1049" s="280"/>
      <c r="J1049" s="259"/>
      <c r="K1049" s="208"/>
      <c r="L1049" s="217"/>
      <c r="M1049" s="494"/>
      <c r="N1049" s="535"/>
      <c r="O1049" s="221"/>
      <c r="P1049" s="220"/>
      <c r="Q1049" s="381"/>
      <c r="R1049" s="222">
        <f t="shared" si="44"/>
        <v>0</v>
      </c>
      <c r="S1049" s="222"/>
      <c r="T1049" s="222"/>
      <c r="U1049" s="222"/>
      <c r="V1049" s="222"/>
    </row>
    <row r="1050" spans="1:22" ht="15.6" outlineLevel="1" x14ac:dyDescent="0.3">
      <c r="A1050" s="345"/>
      <c r="B1050" s="353"/>
      <c r="C1050" s="252"/>
      <c r="D1050" s="218"/>
      <c r="E1050" s="217" t="s">
        <v>574</v>
      </c>
      <c r="F1050" s="280" t="s">
        <v>519</v>
      </c>
      <c r="G1050" s="218"/>
      <c r="H1050" s="208" t="s">
        <v>520</v>
      </c>
      <c r="I1050" s="280"/>
      <c r="J1050" s="259"/>
      <c r="K1050" s="208"/>
      <c r="L1050" s="217"/>
      <c r="M1050" s="494"/>
      <c r="N1050" s="535"/>
      <c r="O1050" s="221"/>
      <c r="P1050" s="220"/>
      <c r="Q1050" s="381"/>
      <c r="R1050" s="222">
        <f t="shared" si="44"/>
        <v>0</v>
      </c>
      <c r="S1050" s="222"/>
      <c r="T1050" s="222"/>
      <c r="U1050" s="222"/>
      <c r="V1050" s="222"/>
    </row>
    <row r="1051" spans="1:22" ht="15.6" outlineLevel="1" x14ac:dyDescent="0.3">
      <c r="A1051" s="345"/>
      <c r="B1051" s="353"/>
      <c r="C1051" s="252"/>
      <c r="D1051" s="218"/>
      <c r="E1051" s="217" t="s">
        <v>574</v>
      </c>
      <c r="F1051" s="280" t="s">
        <v>519</v>
      </c>
      <c r="G1051" s="218"/>
      <c r="H1051" s="208" t="s">
        <v>520</v>
      </c>
      <c r="I1051" s="280"/>
      <c r="J1051" s="259"/>
      <c r="K1051" s="208"/>
      <c r="L1051" s="217"/>
      <c r="M1051" s="494"/>
      <c r="N1051" s="535"/>
      <c r="O1051" s="221"/>
      <c r="P1051" s="220"/>
      <c r="Q1051" s="381"/>
      <c r="R1051" s="222">
        <f t="shared" si="44"/>
        <v>0</v>
      </c>
      <c r="S1051" s="222"/>
      <c r="T1051" s="222"/>
      <c r="U1051" s="222"/>
      <c r="V1051" s="222"/>
    </row>
    <row r="1052" spans="1:22" ht="15.6" outlineLevel="1" x14ac:dyDescent="0.3">
      <c r="A1052" s="345"/>
      <c r="B1052" s="353"/>
      <c r="C1052" s="252"/>
      <c r="D1052" s="218"/>
      <c r="E1052" s="217" t="s">
        <v>574</v>
      </c>
      <c r="F1052" s="280" t="s">
        <v>519</v>
      </c>
      <c r="G1052" s="218"/>
      <c r="H1052" s="208" t="s">
        <v>520</v>
      </c>
      <c r="I1052" s="280"/>
      <c r="J1052" s="259"/>
      <c r="K1052" s="208"/>
      <c r="L1052" s="217"/>
      <c r="M1052" s="494"/>
      <c r="N1052" s="535"/>
      <c r="O1052" s="221"/>
      <c r="P1052" s="220"/>
      <c r="Q1052" s="381"/>
      <c r="R1052" s="222">
        <f t="shared" si="44"/>
        <v>0</v>
      </c>
      <c r="S1052" s="222"/>
      <c r="T1052" s="222"/>
      <c r="U1052" s="222"/>
      <c r="V1052" s="222"/>
    </row>
    <row r="1053" spans="1:22" ht="15.6" outlineLevel="1" x14ac:dyDescent="0.3">
      <c r="A1053" s="345"/>
      <c r="B1053" s="353"/>
      <c r="C1053" s="252"/>
      <c r="D1053" s="218"/>
      <c r="E1053" s="217" t="s">
        <v>574</v>
      </c>
      <c r="F1053" s="280" t="s">
        <v>519</v>
      </c>
      <c r="G1053" s="218"/>
      <c r="H1053" s="208" t="s">
        <v>520</v>
      </c>
      <c r="I1053" s="280"/>
      <c r="J1053" s="259"/>
      <c r="K1053" s="208"/>
      <c r="L1053" s="217"/>
      <c r="M1053" s="494"/>
      <c r="N1053" s="535"/>
      <c r="O1053" s="221"/>
      <c r="P1053" s="220"/>
      <c r="Q1053" s="381"/>
      <c r="R1053" s="222">
        <f t="shared" si="44"/>
        <v>0</v>
      </c>
      <c r="S1053" s="222"/>
      <c r="T1053" s="222"/>
      <c r="U1053" s="222"/>
      <c r="V1053" s="222"/>
    </row>
    <row r="1054" spans="1:22" ht="15.6" outlineLevel="1" x14ac:dyDescent="0.3">
      <c r="A1054" s="345"/>
      <c r="B1054" s="353"/>
      <c r="C1054" s="252"/>
      <c r="D1054" s="218"/>
      <c r="E1054" s="217" t="s">
        <v>574</v>
      </c>
      <c r="F1054" s="280" t="s">
        <v>519</v>
      </c>
      <c r="G1054" s="218"/>
      <c r="H1054" s="208" t="s">
        <v>520</v>
      </c>
      <c r="I1054" s="280"/>
      <c r="J1054" s="259"/>
      <c r="K1054" s="208"/>
      <c r="L1054" s="217"/>
      <c r="M1054" s="494"/>
      <c r="N1054" s="535"/>
      <c r="O1054" s="221"/>
      <c r="P1054" s="220"/>
      <c r="Q1054" s="381"/>
      <c r="R1054" s="222">
        <f t="shared" si="44"/>
        <v>0</v>
      </c>
      <c r="S1054" s="222"/>
      <c r="T1054" s="222"/>
      <c r="U1054" s="222"/>
      <c r="V1054" s="222"/>
    </row>
    <row r="1055" spans="1:22" ht="15.6" outlineLevel="1" x14ac:dyDescent="0.3">
      <c r="A1055" s="345"/>
      <c r="B1055" s="353"/>
      <c r="C1055" s="252"/>
      <c r="D1055" s="218"/>
      <c r="E1055" s="217" t="s">
        <v>574</v>
      </c>
      <c r="F1055" s="280" t="s">
        <v>519</v>
      </c>
      <c r="G1055" s="218"/>
      <c r="H1055" s="208" t="s">
        <v>520</v>
      </c>
      <c r="I1055" s="280"/>
      <c r="J1055" s="259"/>
      <c r="K1055" s="208"/>
      <c r="L1055" s="217"/>
      <c r="M1055" s="494"/>
      <c r="N1055" s="535"/>
      <c r="O1055" s="221"/>
      <c r="P1055" s="220"/>
      <c r="Q1055" s="381"/>
      <c r="R1055" s="222">
        <f t="shared" si="44"/>
        <v>0</v>
      </c>
      <c r="S1055" s="222"/>
      <c r="T1055" s="222"/>
      <c r="U1055" s="222"/>
      <c r="V1055" s="222"/>
    </row>
    <row r="1056" spans="1:22" ht="15.6" outlineLevel="1" x14ac:dyDescent="0.3">
      <c r="A1056" s="345"/>
      <c r="B1056" s="353"/>
      <c r="C1056" s="252"/>
      <c r="D1056" s="218"/>
      <c r="E1056" s="217" t="s">
        <v>574</v>
      </c>
      <c r="F1056" s="280" t="s">
        <v>519</v>
      </c>
      <c r="G1056" s="218"/>
      <c r="H1056" s="208" t="s">
        <v>520</v>
      </c>
      <c r="I1056" s="280"/>
      <c r="J1056" s="259"/>
      <c r="K1056" s="208"/>
      <c r="L1056" s="217"/>
      <c r="M1056" s="494"/>
      <c r="N1056" s="535"/>
      <c r="O1056" s="221"/>
      <c r="P1056" s="220"/>
      <c r="Q1056" s="381"/>
      <c r="R1056" s="222">
        <f t="shared" si="44"/>
        <v>0</v>
      </c>
      <c r="S1056" s="222"/>
      <c r="T1056" s="222"/>
      <c r="U1056" s="222"/>
      <c r="V1056" s="222"/>
    </row>
    <row r="1057" spans="1:22" ht="15.6" outlineLevel="1" x14ac:dyDescent="0.3">
      <c r="A1057" s="345"/>
      <c r="B1057" s="353"/>
      <c r="C1057" s="252"/>
      <c r="D1057" s="218"/>
      <c r="E1057" s="217" t="s">
        <v>574</v>
      </c>
      <c r="F1057" s="280" t="s">
        <v>519</v>
      </c>
      <c r="G1057" s="218"/>
      <c r="H1057" s="208" t="s">
        <v>520</v>
      </c>
      <c r="I1057" s="280"/>
      <c r="J1057" s="259"/>
      <c r="K1057" s="208"/>
      <c r="L1057" s="217"/>
      <c r="M1057" s="494"/>
      <c r="N1057" s="535"/>
      <c r="O1057" s="221"/>
      <c r="P1057" s="220"/>
      <c r="Q1057" s="381"/>
      <c r="R1057" s="222">
        <f t="shared" si="44"/>
        <v>0</v>
      </c>
      <c r="S1057" s="222"/>
      <c r="T1057" s="222"/>
      <c r="U1057" s="222"/>
      <c r="V1057" s="222"/>
    </row>
    <row r="1058" spans="1:22" ht="15.6" outlineLevel="1" x14ac:dyDescent="0.3">
      <c r="A1058" s="345"/>
      <c r="B1058" s="353"/>
      <c r="C1058" s="252"/>
      <c r="D1058" s="218"/>
      <c r="E1058" s="217" t="s">
        <v>574</v>
      </c>
      <c r="F1058" s="280" t="s">
        <v>519</v>
      </c>
      <c r="G1058" s="218"/>
      <c r="H1058" s="208" t="s">
        <v>520</v>
      </c>
      <c r="I1058" s="280"/>
      <c r="J1058" s="259"/>
      <c r="K1058" s="208"/>
      <c r="L1058" s="217"/>
      <c r="M1058" s="494"/>
      <c r="N1058" s="535"/>
      <c r="O1058" s="221"/>
      <c r="P1058" s="220"/>
      <c r="Q1058" s="381"/>
      <c r="R1058" s="222">
        <f t="shared" si="44"/>
        <v>0</v>
      </c>
      <c r="S1058" s="222"/>
      <c r="T1058" s="222"/>
      <c r="U1058" s="222"/>
      <c r="V1058" s="222"/>
    </row>
    <row r="1059" spans="1:22" ht="15.6" outlineLevel="1" x14ac:dyDescent="0.3">
      <c r="A1059" s="345"/>
      <c r="B1059" s="353"/>
      <c r="C1059" s="252"/>
      <c r="D1059" s="218"/>
      <c r="E1059" s="217" t="s">
        <v>574</v>
      </c>
      <c r="F1059" s="280" t="s">
        <v>519</v>
      </c>
      <c r="G1059" s="218"/>
      <c r="H1059" s="208" t="s">
        <v>520</v>
      </c>
      <c r="I1059" s="280"/>
      <c r="J1059" s="259"/>
      <c r="K1059" s="208"/>
      <c r="L1059" s="217"/>
      <c r="M1059" s="494"/>
      <c r="N1059" s="535"/>
      <c r="O1059" s="221"/>
      <c r="P1059" s="220"/>
      <c r="Q1059" s="381"/>
      <c r="R1059" s="222">
        <f t="shared" ref="R1059:R1065" si="45">SUM(S1059,T1059,U1059,V1059)</f>
        <v>0</v>
      </c>
      <c r="S1059" s="222"/>
      <c r="T1059" s="222"/>
      <c r="U1059" s="222"/>
      <c r="V1059" s="222"/>
    </row>
    <row r="1060" spans="1:22" ht="15.6" outlineLevel="1" x14ac:dyDescent="0.3">
      <c r="A1060" s="345"/>
      <c r="B1060" s="353"/>
      <c r="C1060" s="252"/>
      <c r="D1060" s="218"/>
      <c r="E1060" s="217" t="s">
        <v>574</v>
      </c>
      <c r="F1060" s="280" t="s">
        <v>519</v>
      </c>
      <c r="G1060" s="218"/>
      <c r="H1060" s="208" t="s">
        <v>520</v>
      </c>
      <c r="I1060" s="280"/>
      <c r="J1060" s="259"/>
      <c r="K1060" s="208"/>
      <c r="L1060" s="217"/>
      <c r="M1060" s="494"/>
      <c r="N1060" s="535"/>
      <c r="O1060" s="221"/>
      <c r="P1060" s="220"/>
      <c r="Q1060" s="381"/>
      <c r="R1060" s="222">
        <f t="shared" si="45"/>
        <v>0</v>
      </c>
      <c r="S1060" s="222"/>
      <c r="T1060" s="222"/>
      <c r="U1060" s="222"/>
      <c r="V1060" s="222"/>
    </row>
    <row r="1061" spans="1:22" ht="15.6" outlineLevel="1" x14ac:dyDescent="0.3">
      <c r="A1061" s="345"/>
      <c r="B1061" s="353"/>
      <c r="C1061" s="252"/>
      <c r="D1061" s="218"/>
      <c r="E1061" s="217" t="s">
        <v>574</v>
      </c>
      <c r="F1061" s="280" t="s">
        <v>519</v>
      </c>
      <c r="G1061" s="218"/>
      <c r="H1061" s="208" t="s">
        <v>520</v>
      </c>
      <c r="I1061" s="280"/>
      <c r="J1061" s="259"/>
      <c r="K1061" s="208"/>
      <c r="L1061" s="217"/>
      <c r="M1061" s="494"/>
      <c r="N1061" s="535"/>
      <c r="O1061" s="221"/>
      <c r="P1061" s="220"/>
      <c r="Q1061" s="381"/>
      <c r="R1061" s="222">
        <f t="shared" si="45"/>
        <v>0</v>
      </c>
      <c r="S1061" s="222"/>
      <c r="T1061" s="222"/>
      <c r="U1061" s="222"/>
      <c r="V1061" s="222"/>
    </row>
    <row r="1062" spans="1:22" ht="15.6" outlineLevel="1" x14ac:dyDescent="0.3">
      <c r="A1062" s="345"/>
      <c r="B1062" s="353"/>
      <c r="C1062" s="252"/>
      <c r="D1062" s="218"/>
      <c r="E1062" s="217" t="s">
        <v>574</v>
      </c>
      <c r="F1062" s="280" t="s">
        <v>519</v>
      </c>
      <c r="G1062" s="218"/>
      <c r="H1062" s="208" t="s">
        <v>520</v>
      </c>
      <c r="I1062" s="280"/>
      <c r="J1062" s="259"/>
      <c r="K1062" s="208"/>
      <c r="L1062" s="217"/>
      <c r="M1062" s="494"/>
      <c r="N1062" s="535"/>
      <c r="O1062" s="221"/>
      <c r="P1062" s="220"/>
      <c r="Q1062" s="381"/>
      <c r="R1062" s="222">
        <f t="shared" si="45"/>
        <v>0</v>
      </c>
      <c r="S1062" s="222"/>
      <c r="T1062" s="222"/>
      <c r="U1062" s="222"/>
      <c r="V1062" s="222"/>
    </row>
    <row r="1063" spans="1:22" ht="15.6" outlineLevel="1" x14ac:dyDescent="0.3">
      <c r="A1063" s="345"/>
      <c r="B1063" s="353"/>
      <c r="C1063" s="252"/>
      <c r="D1063" s="218"/>
      <c r="E1063" s="217" t="s">
        <v>574</v>
      </c>
      <c r="F1063" s="280" t="s">
        <v>519</v>
      </c>
      <c r="G1063" s="218"/>
      <c r="H1063" s="208" t="s">
        <v>520</v>
      </c>
      <c r="I1063" s="280"/>
      <c r="J1063" s="259"/>
      <c r="K1063" s="208"/>
      <c r="L1063" s="217"/>
      <c r="M1063" s="494"/>
      <c r="N1063" s="535"/>
      <c r="O1063" s="221"/>
      <c r="P1063" s="220"/>
      <c r="Q1063" s="381"/>
      <c r="R1063" s="222">
        <f t="shared" si="45"/>
        <v>0</v>
      </c>
      <c r="S1063" s="222"/>
      <c r="T1063" s="222"/>
      <c r="U1063" s="222"/>
      <c r="V1063" s="222"/>
    </row>
    <row r="1064" spans="1:22" ht="15.6" outlineLevel="1" x14ac:dyDescent="0.3">
      <c r="A1064" s="345"/>
      <c r="B1064" s="353"/>
      <c r="C1064" s="252"/>
      <c r="D1064" s="218"/>
      <c r="E1064" s="217" t="s">
        <v>574</v>
      </c>
      <c r="F1064" s="280" t="s">
        <v>519</v>
      </c>
      <c r="G1064" s="218"/>
      <c r="H1064" s="208" t="s">
        <v>520</v>
      </c>
      <c r="I1064" s="280"/>
      <c r="J1064" s="259"/>
      <c r="K1064" s="208"/>
      <c r="L1064" s="217"/>
      <c r="M1064" s="494"/>
      <c r="N1064" s="535"/>
      <c r="O1064" s="221"/>
      <c r="P1064" s="220"/>
      <c r="Q1064" s="381"/>
      <c r="R1064" s="222">
        <f t="shared" si="45"/>
        <v>0</v>
      </c>
      <c r="S1064" s="222"/>
      <c r="T1064" s="222"/>
      <c r="U1064" s="222"/>
      <c r="V1064" s="222"/>
    </row>
    <row r="1065" spans="1:22" ht="15.6" outlineLevel="1" x14ac:dyDescent="0.3">
      <c r="A1065" s="345"/>
      <c r="B1065" s="353"/>
      <c r="C1065" s="252"/>
      <c r="D1065" s="218"/>
      <c r="E1065" s="217" t="s">
        <v>574</v>
      </c>
      <c r="F1065" s="280" t="s">
        <v>519</v>
      </c>
      <c r="G1065" s="218"/>
      <c r="H1065" s="208" t="s">
        <v>520</v>
      </c>
      <c r="I1065" s="280"/>
      <c r="J1065" s="259"/>
      <c r="K1065" s="208"/>
      <c r="L1065" s="217"/>
      <c r="M1065" s="494"/>
      <c r="N1065" s="535"/>
      <c r="O1065" s="221"/>
      <c r="P1065" s="220"/>
      <c r="Q1065" s="381"/>
      <c r="R1065" s="222">
        <f t="shared" si="45"/>
        <v>0</v>
      </c>
      <c r="S1065" s="222"/>
      <c r="T1065" s="222"/>
      <c r="U1065" s="222"/>
      <c r="V1065" s="222"/>
    </row>
    <row r="1066" spans="1:22" ht="15.6" outlineLevel="1" x14ac:dyDescent="0.3">
      <c r="A1066" s="345"/>
      <c r="B1066" s="353"/>
      <c r="C1066" s="252"/>
      <c r="D1066" s="218"/>
      <c r="E1066" s="217" t="s">
        <v>574</v>
      </c>
      <c r="F1066" s="280" t="s">
        <v>519</v>
      </c>
      <c r="G1066" s="218"/>
      <c r="H1066" s="208" t="s">
        <v>520</v>
      </c>
      <c r="I1066" s="280"/>
      <c r="J1066" s="259"/>
      <c r="K1066" s="208"/>
      <c r="L1066" s="217"/>
      <c r="M1066" s="494"/>
      <c r="N1066" s="535"/>
      <c r="O1066" s="221"/>
      <c r="P1066" s="220"/>
      <c r="Q1066" s="381"/>
      <c r="R1066" s="222">
        <f t="shared" ref="R1066:R1077" si="46">SUM(S1066,T1066,U1066,V1066)</f>
        <v>0</v>
      </c>
      <c r="S1066" s="222"/>
      <c r="T1066" s="222"/>
      <c r="U1066" s="222"/>
      <c r="V1066" s="222"/>
    </row>
    <row r="1067" spans="1:22" ht="15.6" outlineLevel="1" x14ac:dyDescent="0.3">
      <c r="A1067" s="345"/>
      <c r="B1067" s="353"/>
      <c r="C1067" s="252"/>
      <c r="D1067" s="218"/>
      <c r="E1067" s="217" t="s">
        <v>574</v>
      </c>
      <c r="F1067" s="280" t="s">
        <v>519</v>
      </c>
      <c r="G1067" s="218"/>
      <c r="H1067" s="208" t="s">
        <v>520</v>
      </c>
      <c r="I1067" s="280"/>
      <c r="J1067" s="259"/>
      <c r="K1067" s="208"/>
      <c r="L1067" s="217"/>
      <c r="M1067" s="494"/>
      <c r="N1067" s="535"/>
      <c r="O1067" s="221"/>
      <c r="P1067" s="220"/>
      <c r="Q1067" s="381"/>
      <c r="R1067" s="222">
        <f t="shared" si="46"/>
        <v>0</v>
      </c>
      <c r="S1067" s="222"/>
      <c r="T1067" s="222"/>
      <c r="U1067" s="222"/>
      <c r="V1067" s="222"/>
    </row>
    <row r="1068" spans="1:22" ht="15.6" outlineLevel="1" x14ac:dyDescent="0.3">
      <c r="A1068" s="345"/>
      <c r="B1068" s="353"/>
      <c r="C1068" s="252"/>
      <c r="D1068" s="218"/>
      <c r="E1068" s="217" t="s">
        <v>574</v>
      </c>
      <c r="F1068" s="280" t="s">
        <v>519</v>
      </c>
      <c r="G1068" s="218"/>
      <c r="H1068" s="208" t="s">
        <v>520</v>
      </c>
      <c r="I1068" s="280"/>
      <c r="J1068" s="259"/>
      <c r="K1068" s="208"/>
      <c r="L1068" s="217"/>
      <c r="M1068" s="494"/>
      <c r="N1068" s="535"/>
      <c r="O1068" s="221"/>
      <c r="P1068" s="220"/>
      <c r="Q1068" s="381"/>
      <c r="R1068" s="222">
        <f t="shared" si="46"/>
        <v>0</v>
      </c>
      <c r="S1068" s="222"/>
      <c r="T1068" s="222"/>
      <c r="U1068" s="222"/>
      <c r="V1068" s="222"/>
    </row>
    <row r="1069" spans="1:22" ht="15.6" outlineLevel="1" x14ac:dyDescent="0.3">
      <c r="A1069" s="345"/>
      <c r="B1069" s="353"/>
      <c r="C1069" s="252"/>
      <c r="D1069" s="218"/>
      <c r="E1069" s="217" t="s">
        <v>574</v>
      </c>
      <c r="F1069" s="280" t="s">
        <v>519</v>
      </c>
      <c r="G1069" s="218"/>
      <c r="H1069" s="208" t="s">
        <v>520</v>
      </c>
      <c r="I1069" s="280"/>
      <c r="J1069" s="259"/>
      <c r="K1069" s="208"/>
      <c r="L1069" s="217"/>
      <c r="M1069" s="494"/>
      <c r="N1069" s="535"/>
      <c r="O1069" s="221"/>
      <c r="P1069" s="220"/>
      <c r="Q1069" s="381"/>
      <c r="R1069" s="222">
        <f t="shared" si="46"/>
        <v>0</v>
      </c>
      <c r="S1069" s="222"/>
      <c r="T1069" s="222"/>
      <c r="U1069" s="222"/>
      <c r="V1069" s="222"/>
    </row>
    <row r="1070" spans="1:22" ht="15.6" outlineLevel="1" x14ac:dyDescent="0.3">
      <c r="A1070" s="345"/>
      <c r="B1070" s="353"/>
      <c r="C1070" s="252"/>
      <c r="D1070" s="218"/>
      <c r="E1070" s="217" t="s">
        <v>574</v>
      </c>
      <c r="F1070" s="280" t="s">
        <v>519</v>
      </c>
      <c r="G1070" s="218"/>
      <c r="H1070" s="208" t="s">
        <v>520</v>
      </c>
      <c r="I1070" s="280"/>
      <c r="J1070" s="259"/>
      <c r="K1070" s="208"/>
      <c r="L1070" s="217"/>
      <c r="M1070" s="494"/>
      <c r="N1070" s="535"/>
      <c r="O1070" s="221"/>
      <c r="P1070" s="220"/>
      <c r="Q1070" s="381"/>
      <c r="R1070" s="222">
        <f t="shared" si="46"/>
        <v>0</v>
      </c>
      <c r="S1070" s="222"/>
      <c r="T1070" s="222"/>
      <c r="U1070" s="222"/>
      <c r="V1070" s="222"/>
    </row>
    <row r="1071" spans="1:22" ht="15.6" outlineLevel="1" x14ac:dyDescent="0.3">
      <c r="A1071" s="345"/>
      <c r="B1071" s="353"/>
      <c r="C1071" s="252"/>
      <c r="D1071" s="218"/>
      <c r="E1071" s="217" t="s">
        <v>574</v>
      </c>
      <c r="F1071" s="280" t="s">
        <v>519</v>
      </c>
      <c r="G1071" s="218"/>
      <c r="H1071" s="208" t="s">
        <v>520</v>
      </c>
      <c r="I1071" s="280"/>
      <c r="J1071" s="259"/>
      <c r="K1071" s="208"/>
      <c r="L1071" s="217"/>
      <c r="M1071" s="494"/>
      <c r="N1071" s="535"/>
      <c r="O1071" s="221"/>
      <c r="P1071" s="220"/>
      <c r="Q1071" s="381"/>
      <c r="R1071" s="222">
        <f t="shared" si="46"/>
        <v>0</v>
      </c>
      <c r="S1071" s="222"/>
      <c r="T1071" s="222"/>
      <c r="U1071" s="222"/>
      <c r="V1071" s="222"/>
    </row>
    <row r="1072" spans="1:22" ht="15.6" outlineLevel="1" x14ac:dyDescent="0.3">
      <c r="A1072" s="345"/>
      <c r="B1072" s="353"/>
      <c r="C1072" s="252"/>
      <c r="D1072" s="218"/>
      <c r="E1072" s="217" t="s">
        <v>574</v>
      </c>
      <c r="F1072" s="280" t="s">
        <v>519</v>
      </c>
      <c r="G1072" s="218"/>
      <c r="H1072" s="208" t="s">
        <v>520</v>
      </c>
      <c r="I1072" s="280"/>
      <c r="J1072" s="259"/>
      <c r="K1072" s="208"/>
      <c r="L1072" s="217"/>
      <c r="M1072" s="494"/>
      <c r="N1072" s="535"/>
      <c r="O1072" s="221"/>
      <c r="P1072" s="220"/>
      <c r="Q1072" s="381"/>
      <c r="R1072" s="222">
        <f t="shared" si="46"/>
        <v>0</v>
      </c>
      <c r="S1072" s="222"/>
      <c r="T1072" s="222"/>
      <c r="U1072" s="222"/>
      <c r="V1072" s="222"/>
    </row>
    <row r="1073" spans="1:30" ht="15.6" outlineLevel="1" x14ac:dyDescent="0.3">
      <c r="A1073" s="345"/>
      <c r="B1073" s="353"/>
      <c r="C1073" s="252"/>
      <c r="D1073" s="218"/>
      <c r="E1073" s="217" t="s">
        <v>574</v>
      </c>
      <c r="F1073" s="280" t="s">
        <v>519</v>
      </c>
      <c r="G1073" s="218"/>
      <c r="H1073" s="208" t="s">
        <v>520</v>
      </c>
      <c r="I1073" s="280"/>
      <c r="J1073" s="259"/>
      <c r="K1073" s="208"/>
      <c r="L1073" s="217"/>
      <c r="M1073" s="494"/>
      <c r="N1073" s="535"/>
      <c r="O1073" s="221"/>
      <c r="P1073" s="220"/>
      <c r="Q1073" s="381"/>
      <c r="R1073" s="222">
        <f t="shared" si="46"/>
        <v>0</v>
      </c>
      <c r="S1073" s="222"/>
      <c r="T1073" s="222"/>
      <c r="U1073" s="222"/>
      <c r="V1073" s="222"/>
    </row>
    <row r="1074" spans="1:30" ht="15.6" outlineLevel="1" x14ac:dyDescent="0.3">
      <c r="A1074" s="345"/>
      <c r="B1074" s="353"/>
      <c r="C1074" s="252"/>
      <c r="D1074" s="218"/>
      <c r="E1074" s="217" t="s">
        <v>574</v>
      </c>
      <c r="F1074" s="280" t="s">
        <v>519</v>
      </c>
      <c r="G1074" s="218"/>
      <c r="H1074" s="208" t="s">
        <v>520</v>
      </c>
      <c r="I1074" s="280"/>
      <c r="J1074" s="259"/>
      <c r="K1074" s="208"/>
      <c r="L1074" s="217"/>
      <c r="M1074" s="494"/>
      <c r="N1074" s="535"/>
      <c r="O1074" s="221"/>
      <c r="P1074" s="220"/>
      <c r="Q1074" s="381"/>
      <c r="R1074" s="222">
        <f>SUM(S1074,T1074,U1074,V1074)</f>
        <v>0</v>
      </c>
      <c r="S1074" s="222"/>
      <c r="T1074" s="222"/>
      <c r="U1074" s="222"/>
      <c r="V1074" s="222"/>
    </row>
    <row r="1075" spans="1:30" ht="15.6" outlineLevel="1" x14ac:dyDescent="0.3">
      <c r="A1075" s="345"/>
      <c r="B1075" s="353"/>
      <c r="C1075" s="252"/>
      <c r="D1075" s="218"/>
      <c r="E1075" s="217" t="s">
        <v>574</v>
      </c>
      <c r="F1075" s="280" t="s">
        <v>519</v>
      </c>
      <c r="G1075" s="218"/>
      <c r="H1075" s="208" t="s">
        <v>520</v>
      </c>
      <c r="I1075" s="280"/>
      <c r="J1075" s="259"/>
      <c r="K1075" s="208"/>
      <c r="L1075" s="217"/>
      <c r="M1075" s="494"/>
      <c r="N1075" s="535"/>
      <c r="O1075" s="221"/>
      <c r="P1075" s="220"/>
      <c r="Q1075" s="381"/>
      <c r="R1075" s="222">
        <f>SUM(S1075,T1075,U1075,V1075)</f>
        <v>0</v>
      </c>
      <c r="S1075" s="222"/>
      <c r="T1075" s="222"/>
      <c r="U1075" s="222"/>
      <c r="V1075" s="222"/>
    </row>
    <row r="1076" spans="1:30" ht="15.6" outlineLevel="1" x14ac:dyDescent="0.3">
      <c r="A1076" s="345"/>
      <c r="B1076" s="353"/>
      <c r="C1076" s="252"/>
      <c r="D1076" s="218"/>
      <c r="E1076" s="217" t="s">
        <v>574</v>
      </c>
      <c r="F1076" s="280" t="s">
        <v>519</v>
      </c>
      <c r="G1076" s="218"/>
      <c r="H1076" s="208" t="s">
        <v>520</v>
      </c>
      <c r="I1076" s="280"/>
      <c r="J1076" s="259"/>
      <c r="K1076" s="208"/>
      <c r="L1076" s="217"/>
      <c r="M1076" s="494"/>
      <c r="N1076" s="535"/>
      <c r="O1076" s="221"/>
      <c r="P1076" s="220"/>
      <c r="Q1076" s="381"/>
      <c r="R1076" s="222">
        <f>SUM(S1076,T1076,U1076,V1076)</f>
        <v>0</v>
      </c>
      <c r="S1076" s="222"/>
      <c r="T1076" s="222"/>
      <c r="U1076" s="222"/>
      <c r="V1076" s="222"/>
    </row>
    <row r="1077" spans="1:30" ht="15.6" outlineLevel="1" x14ac:dyDescent="0.3">
      <c r="A1077" s="345"/>
      <c r="B1077" s="353"/>
      <c r="C1077" s="252"/>
      <c r="D1077" s="218"/>
      <c r="E1077" s="217" t="s">
        <v>574</v>
      </c>
      <c r="F1077" s="280" t="s">
        <v>519</v>
      </c>
      <c r="G1077" s="218"/>
      <c r="H1077" s="208" t="s">
        <v>520</v>
      </c>
      <c r="I1077" s="280"/>
      <c r="J1077" s="259"/>
      <c r="K1077" s="208"/>
      <c r="L1077" s="217"/>
      <c r="M1077" s="494"/>
      <c r="N1077" s="535"/>
      <c r="O1077" s="221"/>
      <c r="P1077" s="220"/>
      <c r="Q1077" s="381"/>
      <c r="R1077" s="222">
        <f t="shared" si="46"/>
        <v>0</v>
      </c>
      <c r="S1077" s="222"/>
      <c r="T1077" s="222"/>
      <c r="U1077" s="222"/>
      <c r="V1077" s="222"/>
    </row>
    <row r="1078" spans="1:30" ht="15.6" outlineLevel="1" x14ac:dyDescent="0.3">
      <c r="A1078" s="345"/>
      <c r="B1078" s="353"/>
      <c r="C1078" s="252"/>
      <c r="D1078" s="218"/>
      <c r="E1078" s="217" t="s">
        <v>574</v>
      </c>
      <c r="F1078" s="280" t="s">
        <v>519</v>
      </c>
      <c r="G1078" s="218"/>
      <c r="H1078" s="208" t="s">
        <v>520</v>
      </c>
      <c r="I1078" s="280"/>
      <c r="J1078" s="259"/>
      <c r="K1078" s="208"/>
      <c r="L1078" s="217"/>
      <c r="M1078" s="494"/>
      <c r="N1078" s="535"/>
      <c r="O1078" s="221"/>
      <c r="P1078" s="220"/>
      <c r="Q1078" s="381"/>
      <c r="R1078" s="222">
        <f t="shared" ref="R1078:R1083" si="47">SUM(S1078,T1078,U1078,V1078)</f>
        <v>0</v>
      </c>
      <c r="S1078" s="222"/>
      <c r="T1078" s="222"/>
      <c r="U1078" s="222"/>
      <c r="V1078" s="222"/>
    </row>
    <row r="1079" spans="1:30" ht="15.6" outlineLevel="1" x14ac:dyDescent="0.3">
      <c r="A1079" s="345"/>
      <c r="B1079" s="353"/>
      <c r="C1079" s="252"/>
      <c r="D1079" s="218"/>
      <c r="E1079" s="217" t="s">
        <v>574</v>
      </c>
      <c r="F1079" s="280" t="s">
        <v>519</v>
      </c>
      <c r="G1079" s="218"/>
      <c r="H1079" s="208" t="s">
        <v>520</v>
      </c>
      <c r="I1079" s="280"/>
      <c r="J1079" s="259"/>
      <c r="K1079" s="208"/>
      <c r="L1079" s="217"/>
      <c r="M1079" s="494"/>
      <c r="N1079" s="535"/>
      <c r="O1079" s="221"/>
      <c r="P1079" s="220"/>
      <c r="Q1079" s="381"/>
      <c r="R1079" s="222">
        <f t="shared" si="47"/>
        <v>0</v>
      </c>
      <c r="S1079" s="222"/>
      <c r="T1079" s="222"/>
      <c r="U1079" s="222"/>
      <c r="V1079" s="222"/>
    </row>
    <row r="1080" spans="1:30" ht="15.6" outlineLevel="1" x14ac:dyDescent="0.3">
      <c r="A1080" s="345"/>
      <c r="B1080" s="353"/>
      <c r="C1080" s="252"/>
      <c r="D1080" s="218"/>
      <c r="E1080" s="217" t="s">
        <v>574</v>
      </c>
      <c r="F1080" s="280" t="s">
        <v>519</v>
      </c>
      <c r="G1080" s="218"/>
      <c r="H1080" s="208" t="s">
        <v>520</v>
      </c>
      <c r="I1080" s="280"/>
      <c r="J1080" s="259"/>
      <c r="K1080" s="208"/>
      <c r="L1080" s="217"/>
      <c r="M1080" s="494"/>
      <c r="N1080" s="535"/>
      <c r="O1080" s="221"/>
      <c r="P1080" s="220"/>
      <c r="Q1080" s="381"/>
      <c r="R1080" s="222">
        <f t="shared" si="47"/>
        <v>0</v>
      </c>
      <c r="S1080" s="222"/>
      <c r="T1080" s="222"/>
      <c r="U1080" s="222"/>
      <c r="V1080" s="222"/>
    </row>
    <row r="1081" spans="1:30" ht="15.6" outlineLevel="1" x14ac:dyDescent="0.3">
      <c r="A1081" s="345"/>
      <c r="B1081" s="353"/>
      <c r="C1081" s="252"/>
      <c r="D1081" s="218"/>
      <c r="E1081" s="217" t="s">
        <v>574</v>
      </c>
      <c r="F1081" s="280" t="s">
        <v>519</v>
      </c>
      <c r="G1081" s="218"/>
      <c r="H1081" s="208" t="s">
        <v>520</v>
      </c>
      <c r="I1081" s="280"/>
      <c r="J1081" s="259"/>
      <c r="K1081" s="208"/>
      <c r="L1081" s="217"/>
      <c r="M1081" s="494"/>
      <c r="N1081" s="535"/>
      <c r="O1081" s="221"/>
      <c r="P1081" s="220"/>
      <c r="Q1081" s="381"/>
      <c r="R1081" s="222">
        <f t="shared" si="47"/>
        <v>0</v>
      </c>
      <c r="S1081" s="222"/>
      <c r="T1081" s="222"/>
      <c r="U1081" s="222"/>
      <c r="V1081" s="222"/>
    </row>
    <row r="1082" spans="1:30" ht="15.6" outlineLevel="1" x14ac:dyDescent="0.3">
      <c r="A1082" s="345"/>
      <c r="B1082" s="353"/>
      <c r="C1082" s="252"/>
      <c r="D1082" s="218"/>
      <c r="E1082" s="217" t="s">
        <v>574</v>
      </c>
      <c r="F1082" s="280" t="s">
        <v>519</v>
      </c>
      <c r="G1082" s="218"/>
      <c r="H1082" s="208" t="s">
        <v>520</v>
      </c>
      <c r="I1082" s="280"/>
      <c r="J1082" s="259"/>
      <c r="K1082" s="208"/>
      <c r="L1082" s="217"/>
      <c r="M1082" s="494"/>
      <c r="N1082" s="535"/>
      <c r="O1082" s="221"/>
      <c r="P1082" s="220"/>
      <c r="Q1082" s="381"/>
      <c r="R1082" s="222">
        <f t="shared" si="47"/>
        <v>0</v>
      </c>
      <c r="S1082" s="222"/>
      <c r="T1082" s="222"/>
      <c r="U1082" s="222"/>
      <c r="V1082" s="222"/>
    </row>
    <row r="1083" spans="1:30" ht="15.6" outlineLevel="1" x14ac:dyDescent="0.3">
      <c r="A1083" s="345"/>
      <c r="B1083" s="353"/>
      <c r="C1083" s="217"/>
      <c r="D1083" s="218"/>
      <c r="E1083" s="217" t="s">
        <v>574</v>
      </c>
      <c r="F1083" s="280" t="s">
        <v>519</v>
      </c>
      <c r="G1083" s="218"/>
      <c r="H1083" s="208" t="s">
        <v>520</v>
      </c>
      <c r="I1083" s="280"/>
      <c r="J1083" s="259"/>
      <c r="K1083" s="208"/>
      <c r="L1083" s="217"/>
      <c r="M1083" s="494"/>
      <c r="N1083" s="535"/>
      <c r="O1083" s="221"/>
      <c r="P1083" s="220"/>
      <c r="Q1083" s="381"/>
      <c r="R1083" s="222">
        <f t="shared" si="47"/>
        <v>0</v>
      </c>
      <c r="S1083" s="222"/>
      <c r="T1083" s="222"/>
      <c r="U1083" s="222"/>
      <c r="V1083" s="222"/>
    </row>
    <row r="1084" spans="1:30" ht="16.2" x14ac:dyDescent="0.35">
      <c r="A1084" s="240" t="s">
        <v>678</v>
      </c>
      <c r="B1084" s="232"/>
      <c r="C1084" s="232"/>
      <c r="D1084" s="232"/>
      <c r="E1084" s="232"/>
      <c r="F1084" s="258"/>
      <c r="G1084" s="259"/>
      <c r="H1084" s="232"/>
      <c r="I1084" s="260"/>
      <c r="J1084" s="258"/>
      <c r="K1084" s="232"/>
      <c r="L1084" s="232"/>
      <c r="M1084" s="495"/>
      <c r="N1084" s="536"/>
      <c r="O1084" s="350">
        <v>244</v>
      </c>
      <c r="P1084" s="351">
        <v>344</v>
      </c>
      <c r="Q1084" s="386"/>
      <c r="R1084" s="229">
        <f>SUM(R1085:R1168)</f>
        <v>0</v>
      </c>
      <c r="S1084" s="229">
        <f>SUM(S1085:S1168)</f>
        <v>0</v>
      </c>
      <c r="T1084" s="229">
        <f>SUM(T1085:T1168)</f>
        <v>0</v>
      </c>
      <c r="U1084" s="229">
        <f>SUM(U1085:U1168)</f>
        <v>0</v>
      </c>
      <c r="V1084" s="229">
        <f>SUM(V1085:V1168)</f>
        <v>0</v>
      </c>
    </row>
    <row r="1085" spans="1:30" s="45" customFormat="1" ht="18" outlineLevel="1" x14ac:dyDescent="0.35">
      <c r="A1085" s="345"/>
      <c r="B1085" s="353"/>
      <c r="C1085" s="217"/>
      <c r="D1085" s="218"/>
      <c r="E1085" s="217" t="s">
        <v>574</v>
      </c>
      <c r="F1085" s="280" t="s">
        <v>519</v>
      </c>
      <c r="G1085" s="218"/>
      <c r="H1085" s="208" t="s">
        <v>520</v>
      </c>
      <c r="I1085" s="280"/>
      <c r="J1085" s="259"/>
      <c r="K1085" s="208"/>
      <c r="L1085" s="488"/>
      <c r="M1085" s="514"/>
      <c r="N1085" s="542"/>
      <c r="O1085" s="354"/>
      <c r="P1085" s="355"/>
      <c r="Q1085" s="387"/>
      <c r="R1085" s="222">
        <f t="shared" ref="R1085:R1120" si="48">SUM(S1085,T1085,U1085,V1085)</f>
        <v>0</v>
      </c>
      <c r="S1085" s="222"/>
      <c r="T1085" s="222"/>
      <c r="U1085" s="222"/>
      <c r="V1085" s="222"/>
      <c r="AC1085" s="414"/>
      <c r="AD1085" s="471"/>
    </row>
    <row r="1086" spans="1:30" ht="15.6" outlineLevel="1" x14ac:dyDescent="0.3">
      <c r="A1086" s="345"/>
      <c r="B1086" s="353"/>
      <c r="C1086" s="217"/>
      <c r="D1086" s="218"/>
      <c r="E1086" s="217" t="s">
        <v>574</v>
      </c>
      <c r="F1086" s="280" t="s">
        <v>519</v>
      </c>
      <c r="G1086" s="218"/>
      <c r="H1086" s="208" t="s">
        <v>520</v>
      </c>
      <c r="I1086" s="280"/>
      <c r="J1086" s="259"/>
      <c r="K1086" s="208"/>
      <c r="L1086" s="217"/>
      <c r="M1086" s="494"/>
      <c r="N1086" s="535"/>
      <c r="O1086" s="221"/>
      <c r="P1086" s="220"/>
      <c r="Q1086" s="381"/>
      <c r="R1086" s="222">
        <f t="shared" si="48"/>
        <v>0</v>
      </c>
      <c r="S1086" s="222"/>
      <c r="T1086" s="222"/>
      <c r="U1086" s="222"/>
      <c r="V1086" s="222"/>
    </row>
    <row r="1087" spans="1:30" ht="15.6" outlineLevel="1" x14ac:dyDescent="0.3">
      <c r="A1087" s="345"/>
      <c r="B1087" s="353"/>
      <c r="C1087" s="217"/>
      <c r="D1087" s="218"/>
      <c r="E1087" s="217" t="s">
        <v>574</v>
      </c>
      <c r="F1087" s="280" t="s">
        <v>519</v>
      </c>
      <c r="G1087" s="218"/>
      <c r="H1087" s="208" t="s">
        <v>520</v>
      </c>
      <c r="I1087" s="665"/>
      <c r="J1087" s="338"/>
      <c r="K1087" s="666"/>
      <c r="L1087" s="217"/>
      <c r="M1087" s="494"/>
      <c r="N1087" s="535"/>
      <c r="O1087" s="221"/>
      <c r="P1087" s="220"/>
      <c r="Q1087" s="381"/>
      <c r="R1087" s="222">
        <f t="shared" si="48"/>
        <v>0</v>
      </c>
      <c r="S1087" s="222"/>
      <c r="T1087" s="222"/>
      <c r="U1087" s="222"/>
      <c r="V1087" s="222"/>
    </row>
    <row r="1088" spans="1:30" ht="15.6" outlineLevel="1" x14ac:dyDescent="0.3">
      <c r="A1088" s="345"/>
      <c r="B1088" s="353"/>
      <c r="C1088" s="217"/>
      <c r="D1088" s="218"/>
      <c r="E1088" s="217" t="s">
        <v>574</v>
      </c>
      <c r="F1088" s="280" t="s">
        <v>519</v>
      </c>
      <c r="G1088" s="218"/>
      <c r="H1088" s="208" t="s">
        <v>520</v>
      </c>
      <c r="I1088" s="280"/>
      <c r="J1088" s="259"/>
      <c r="K1088" s="208"/>
      <c r="L1088" s="217"/>
      <c r="M1088" s="494"/>
      <c r="N1088" s="535"/>
      <c r="O1088" s="221"/>
      <c r="P1088" s="220"/>
      <c r="Q1088" s="381"/>
      <c r="R1088" s="222">
        <f t="shared" si="48"/>
        <v>0</v>
      </c>
      <c r="S1088" s="222"/>
      <c r="T1088" s="222"/>
      <c r="U1088" s="222"/>
      <c r="V1088" s="222"/>
    </row>
    <row r="1089" spans="1:22" ht="15.6" outlineLevel="1" x14ac:dyDescent="0.3">
      <c r="A1089" s="345"/>
      <c r="B1089" s="353"/>
      <c r="C1089" s="217"/>
      <c r="D1089" s="218"/>
      <c r="E1089" s="217" t="s">
        <v>743</v>
      </c>
      <c r="F1089" s="280" t="s">
        <v>519</v>
      </c>
      <c r="G1089" s="218"/>
      <c r="H1089" s="208" t="s">
        <v>520</v>
      </c>
      <c r="I1089" s="280"/>
      <c r="J1089" s="259"/>
      <c r="K1089" s="208"/>
      <c r="L1089" s="217"/>
      <c r="M1089" s="494"/>
      <c r="N1089" s="535"/>
      <c r="O1089" s="221"/>
      <c r="P1089" s="220"/>
      <c r="Q1089" s="381"/>
      <c r="R1089" s="222">
        <f t="shared" si="48"/>
        <v>0</v>
      </c>
      <c r="S1089" s="222"/>
      <c r="T1089" s="222"/>
      <c r="U1089" s="222"/>
      <c r="V1089" s="222"/>
    </row>
    <row r="1090" spans="1:22" ht="15.6" outlineLevel="1" x14ac:dyDescent="0.3">
      <c r="A1090" s="345"/>
      <c r="B1090" s="353"/>
      <c r="C1090" s="217"/>
      <c r="D1090" s="218"/>
      <c r="E1090" s="217" t="s">
        <v>574</v>
      </c>
      <c r="F1090" s="280" t="s">
        <v>519</v>
      </c>
      <c r="G1090" s="218"/>
      <c r="H1090" s="208" t="s">
        <v>520</v>
      </c>
      <c r="I1090" s="280"/>
      <c r="J1090" s="259"/>
      <c r="K1090" s="208"/>
      <c r="L1090" s="217"/>
      <c r="M1090" s="494"/>
      <c r="N1090" s="535"/>
      <c r="O1090" s="221"/>
      <c r="P1090" s="220"/>
      <c r="Q1090" s="381"/>
      <c r="R1090" s="222">
        <f t="shared" si="48"/>
        <v>0</v>
      </c>
      <c r="S1090" s="222"/>
      <c r="T1090" s="222"/>
      <c r="U1090" s="222"/>
      <c r="V1090" s="222"/>
    </row>
    <row r="1091" spans="1:22" ht="15.6" outlineLevel="1" x14ac:dyDescent="0.3">
      <c r="A1091" s="345"/>
      <c r="B1091" s="353"/>
      <c r="C1091" s="217"/>
      <c r="D1091" s="218"/>
      <c r="E1091" s="217" t="s">
        <v>574</v>
      </c>
      <c r="F1091" s="280" t="s">
        <v>519</v>
      </c>
      <c r="G1091" s="218"/>
      <c r="H1091" s="208" t="s">
        <v>520</v>
      </c>
      <c r="I1091" s="280"/>
      <c r="J1091" s="259"/>
      <c r="K1091" s="208"/>
      <c r="L1091" s="217"/>
      <c r="M1091" s="494"/>
      <c r="N1091" s="535"/>
      <c r="O1091" s="221"/>
      <c r="P1091" s="220"/>
      <c r="Q1091" s="381"/>
      <c r="R1091" s="222">
        <f t="shared" si="48"/>
        <v>0</v>
      </c>
      <c r="S1091" s="222"/>
      <c r="T1091" s="222"/>
      <c r="U1091" s="222"/>
      <c r="V1091" s="222"/>
    </row>
    <row r="1092" spans="1:22" ht="15.6" outlineLevel="1" x14ac:dyDescent="0.3">
      <c r="A1092" s="345"/>
      <c r="B1092" s="353"/>
      <c r="C1092" s="217"/>
      <c r="D1092" s="218"/>
      <c r="E1092" s="217" t="s">
        <v>574</v>
      </c>
      <c r="F1092" s="280" t="s">
        <v>519</v>
      </c>
      <c r="G1092" s="218"/>
      <c r="H1092" s="208" t="s">
        <v>520</v>
      </c>
      <c r="I1092" s="280"/>
      <c r="J1092" s="259"/>
      <c r="K1092" s="208"/>
      <c r="L1092" s="217"/>
      <c r="M1092" s="494"/>
      <c r="N1092" s="535"/>
      <c r="O1092" s="221"/>
      <c r="P1092" s="220"/>
      <c r="Q1092" s="381"/>
      <c r="R1092" s="222">
        <f t="shared" si="48"/>
        <v>0</v>
      </c>
      <c r="S1092" s="222"/>
      <c r="T1092" s="222"/>
      <c r="U1092" s="222"/>
      <c r="V1092" s="222"/>
    </row>
    <row r="1093" spans="1:22" ht="15.6" outlineLevel="1" x14ac:dyDescent="0.3">
      <c r="A1093" s="345"/>
      <c r="B1093" s="353"/>
      <c r="C1093" s="217"/>
      <c r="D1093" s="218"/>
      <c r="E1093" s="217" t="s">
        <v>574</v>
      </c>
      <c r="F1093" s="280" t="s">
        <v>519</v>
      </c>
      <c r="G1093" s="218"/>
      <c r="H1093" s="208" t="s">
        <v>520</v>
      </c>
      <c r="I1093" s="280"/>
      <c r="J1093" s="259"/>
      <c r="K1093" s="208"/>
      <c r="L1093" s="217"/>
      <c r="M1093" s="494"/>
      <c r="N1093" s="535"/>
      <c r="O1093" s="221"/>
      <c r="P1093" s="220"/>
      <c r="Q1093" s="381"/>
      <c r="R1093" s="222">
        <f t="shared" si="48"/>
        <v>0</v>
      </c>
      <c r="S1093" s="222"/>
      <c r="T1093" s="222"/>
      <c r="U1093" s="222"/>
      <c r="V1093" s="222"/>
    </row>
    <row r="1094" spans="1:22" ht="15.6" outlineLevel="1" x14ac:dyDescent="0.3">
      <c r="A1094" s="345"/>
      <c r="B1094" s="353"/>
      <c r="C1094" s="217"/>
      <c r="D1094" s="218"/>
      <c r="E1094" s="217" t="s">
        <v>574</v>
      </c>
      <c r="F1094" s="280" t="s">
        <v>519</v>
      </c>
      <c r="G1094" s="218"/>
      <c r="H1094" s="208" t="s">
        <v>520</v>
      </c>
      <c r="I1094" s="280"/>
      <c r="J1094" s="259"/>
      <c r="K1094" s="208"/>
      <c r="L1094" s="217"/>
      <c r="M1094" s="494"/>
      <c r="N1094" s="535"/>
      <c r="O1094" s="221"/>
      <c r="P1094" s="220"/>
      <c r="Q1094" s="381"/>
      <c r="R1094" s="222">
        <f t="shared" si="48"/>
        <v>0</v>
      </c>
      <c r="S1094" s="222"/>
      <c r="T1094" s="222"/>
      <c r="U1094" s="222"/>
      <c r="V1094" s="222"/>
    </row>
    <row r="1095" spans="1:22" ht="15.6" outlineLevel="1" x14ac:dyDescent="0.3">
      <c r="A1095" s="345"/>
      <c r="B1095" s="353"/>
      <c r="C1095" s="217"/>
      <c r="D1095" s="218"/>
      <c r="E1095" s="217" t="s">
        <v>574</v>
      </c>
      <c r="F1095" s="280" t="s">
        <v>519</v>
      </c>
      <c r="G1095" s="218"/>
      <c r="H1095" s="208" t="s">
        <v>520</v>
      </c>
      <c r="I1095" s="280"/>
      <c r="J1095" s="259"/>
      <c r="K1095" s="208"/>
      <c r="L1095" s="217"/>
      <c r="M1095" s="494"/>
      <c r="N1095" s="535"/>
      <c r="O1095" s="221"/>
      <c r="P1095" s="220"/>
      <c r="Q1095" s="381"/>
      <c r="R1095" s="222">
        <f t="shared" si="48"/>
        <v>0</v>
      </c>
      <c r="S1095" s="222"/>
      <c r="T1095" s="222"/>
      <c r="U1095" s="222"/>
      <c r="V1095" s="222"/>
    </row>
    <row r="1096" spans="1:22" ht="15.6" outlineLevel="1" x14ac:dyDescent="0.3">
      <c r="A1096" s="345"/>
      <c r="B1096" s="353"/>
      <c r="C1096" s="217"/>
      <c r="D1096" s="218"/>
      <c r="E1096" s="217" t="s">
        <v>574</v>
      </c>
      <c r="F1096" s="280" t="s">
        <v>519</v>
      </c>
      <c r="G1096" s="218"/>
      <c r="H1096" s="208" t="s">
        <v>520</v>
      </c>
      <c r="I1096" s="280"/>
      <c r="J1096" s="259"/>
      <c r="K1096" s="208"/>
      <c r="L1096" s="217"/>
      <c r="M1096" s="494"/>
      <c r="N1096" s="535"/>
      <c r="O1096" s="221"/>
      <c r="P1096" s="220"/>
      <c r="Q1096" s="381"/>
      <c r="R1096" s="222">
        <f t="shared" si="48"/>
        <v>0</v>
      </c>
      <c r="S1096" s="222"/>
      <c r="T1096" s="222"/>
      <c r="U1096" s="222"/>
      <c r="V1096" s="222"/>
    </row>
    <row r="1097" spans="1:22" ht="15.6" outlineLevel="1" x14ac:dyDescent="0.3">
      <c r="A1097" s="345"/>
      <c r="B1097" s="353"/>
      <c r="C1097" s="217"/>
      <c r="D1097" s="218"/>
      <c r="E1097" s="217" t="s">
        <v>574</v>
      </c>
      <c r="F1097" s="280" t="s">
        <v>519</v>
      </c>
      <c r="G1097" s="218"/>
      <c r="H1097" s="208" t="s">
        <v>520</v>
      </c>
      <c r="I1097" s="280"/>
      <c r="J1097" s="259"/>
      <c r="K1097" s="208"/>
      <c r="L1097" s="217"/>
      <c r="M1097" s="494"/>
      <c r="N1097" s="535"/>
      <c r="O1097" s="221"/>
      <c r="P1097" s="220"/>
      <c r="Q1097" s="381"/>
      <c r="R1097" s="222">
        <f t="shared" si="48"/>
        <v>0</v>
      </c>
      <c r="S1097" s="222"/>
      <c r="T1097" s="222"/>
      <c r="U1097" s="222"/>
      <c r="V1097" s="222"/>
    </row>
    <row r="1098" spans="1:22" ht="15.6" outlineLevel="1" x14ac:dyDescent="0.3">
      <c r="A1098" s="345"/>
      <c r="B1098" s="353"/>
      <c r="C1098" s="217"/>
      <c r="D1098" s="218"/>
      <c r="E1098" s="217" t="s">
        <v>574</v>
      </c>
      <c r="F1098" s="280" t="s">
        <v>519</v>
      </c>
      <c r="G1098" s="218"/>
      <c r="H1098" s="208" t="s">
        <v>520</v>
      </c>
      <c r="I1098" s="280"/>
      <c r="J1098" s="259"/>
      <c r="K1098" s="208"/>
      <c r="L1098" s="217"/>
      <c r="M1098" s="494"/>
      <c r="N1098" s="535"/>
      <c r="O1098" s="221"/>
      <c r="P1098" s="220"/>
      <c r="Q1098" s="381"/>
      <c r="R1098" s="222">
        <f t="shared" si="48"/>
        <v>0</v>
      </c>
      <c r="S1098" s="222"/>
      <c r="T1098" s="222"/>
      <c r="U1098" s="222"/>
      <c r="V1098" s="222"/>
    </row>
    <row r="1099" spans="1:22" ht="15.6" outlineLevel="1" x14ac:dyDescent="0.3">
      <c r="A1099" s="345"/>
      <c r="B1099" s="353"/>
      <c r="C1099" s="217"/>
      <c r="D1099" s="218"/>
      <c r="E1099" s="217" t="s">
        <v>574</v>
      </c>
      <c r="F1099" s="280" t="s">
        <v>519</v>
      </c>
      <c r="G1099" s="218"/>
      <c r="H1099" s="208" t="s">
        <v>520</v>
      </c>
      <c r="I1099" s="280"/>
      <c r="J1099" s="259"/>
      <c r="K1099" s="208"/>
      <c r="L1099" s="217"/>
      <c r="M1099" s="494"/>
      <c r="N1099" s="535"/>
      <c r="O1099" s="221"/>
      <c r="P1099" s="220"/>
      <c r="Q1099" s="381"/>
      <c r="R1099" s="222">
        <f t="shared" si="48"/>
        <v>0</v>
      </c>
      <c r="S1099" s="222"/>
      <c r="T1099" s="222"/>
      <c r="U1099" s="222"/>
      <c r="V1099" s="222"/>
    </row>
    <row r="1100" spans="1:22" ht="15.6" outlineLevel="1" x14ac:dyDescent="0.3">
      <c r="A1100" s="345"/>
      <c r="B1100" s="353"/>
      <c r="C1100" s="217"/>
      <c r="D1100" s="218"/>
      <c r="E1100" s="217" t="s">
        <v>574</v>
      </c>
      <c r="F1100" s="280" t="s">
        <v>519</v>
      </c>
      <c r="G1100" s="218"/>
      <c r="H1100" s="208" t="s">
        <v>520</v>
      </c>
      <c r="I1100" s="280"/>
      <c r="J1100" s="259"/>
      <c r="K1100" s="208"/>
      <c r="L1100" s="217"/>
      <c r="M1100" s="494"/>
      <c r="N1100" s="535"/>
      <c r="O1100" s="221"/>
      <c r="P1100" s="220"/>
      <c r="Q1100" s="381"/>
      <c r="R1100" s="222">
        <f t="shared" si="48"/>
        <v>0</v>
      </c>
      <c r="S1100" s="222"/>
      <c r="T1100" s="222"/>
      <c r="U1100" s="222"/>
      <c r="V1100" s="222"/>
    </row>
    <row r="1101" spans="1:22" ht="15.6" outlineLevel="1" x14ac:dyDescent="0.3">
      <c r="A1101" s="345"/>
      <c r="B1101" s="353"/>
      <c r="C1101" s="217"/>
      <c r="D1101" s="218"/>
      <c r="E1101" s="217" t="s">
        <v>574</v>
      </c>
      <c r="F1101" s="280" t="s">
        <v>519</v>
      </c>
      <c r="G1101" s="218"/>
      <c r="H1101" s="208" t="s">
        <v>520</v>
      </c>
      <c r="I1101" s="280"/>
      <c r="J1101" s="259"/>
      <c r="K1101" s="208"/>
      <c r="L1101" s="217"/>
      <c r="M1101" s="494"/>
      <c r="N1101" s="535"/>
      <c r="O1101" s="221"/>
      <c r="P1101" s="220"/>
      <c r="Q1101" s="381"/>
      <c r="R1101" s="222">
        <f t="shared" si="48"/>
        <v>0</v>
      </c>
      <c r="S1101" s="222"/>
      <c r="T1101" s="222"/>
      <c r="U1101" s="222"/>
      <c r="V1101" s="222"/>
    </row>
    <row r="1102" spans="1:22" ht="15.6" outlineLevel="1" x14ac:dyDescent="0.3">
      <c r="A1102" s="345"/>
      <c r="B1102" s="353"/>
      <c r="C1102" s="217"/>
      <c r="D1102" s="218"/>
      <c r="E1102" s="217" t="s">
        <v>574</v>
      </c>
      <c r="F1102" s="280" t="s">
        <v>519</v>
      </c>
      <c r="G1102" s="218"/>
      <c r="H1102" s="208" t="s">
        <v>520</v>
      </c>
      <c r="I1102" s="280"/>
      <c r="J1102" s="259"/>
      <c r="K1102" s="208"/>
      <c r="L1102" s="217"/>
      <c r="M1102" s="494"/>
      <c r="N1102" s="535"/>
      <c r="O1102" s="221"/>
      <c r="P1102" s="220"/>
      <c r="Q1102" s="381"/>
      <c r="R1102" s="222">
        <f t="shared" si="48"/>
        <v>0</v>
      </c>
      <c r="S1102" s="222"/>
      <c r="T1102" s="222"/>
      <c r="U1102" s="222"/>
      <c r="V1102" s="222"/>
    </row>
    <row r="1103" spans="1:22" ht="15.6" outlineLevel="1" x14ac:dyDescent="0.3">
      <c r="A1103" s="345"/>
      <c r="B1103" s="353"/>
      <c r="C1103" s="217"/>
      <c r="D1103" s="218"/>
      <c r="E1103" s="217" t="s">
        <v>574</v>
      </c>
      <c r="F1103" s="280" t="s">
        <v>519</v>
      </c>
      <c r="G1103" s="218"/>
      <c r="H1103" s="208" t="s">
        <v>520</v>
      </c>
      <c r="I1103" s="280"/>
      <c r="J1103" s="259"/>
      <c r="K1103" s="208"/>
      <c r="L1103" s="217"/>
      <c r="M1103" s="494"/>
      <c r="N1103" s="535"/>
      <c r="O1103" s="221"/>
      <c r="P1103" s="220"/>
      <c r="Q1103" s="381"/>
      <c r="R1103" s="222">
        <f t="shared" si="48"/>
        <v>0</v>
      </c>
      <c r="S1103" s="222"/>
      <c r="T1103" s="222"/>
      <c r="U1103" s="222"/>
      <c r="V1103" s="222"/>
    </row>
    <row r="1104" spans="1:22" ht="15.6" outlineLevel="1" x14ac:dyDescent="0.3">
      <c r="A1104" s="345"/>
      <c r="B1104" s="353"/>
      <c r="C1104" s="217"/>
      <c r="D1104" s="218"/>
      <c r="E1104" s="217" t="s">
        <v>574</v>
      </c>
      <c r="F1104" s="280" t="s">
        <v>519</v>
      </c>
      <c r="G1104" s="218"/>
      <c r="H1104" s="208" t="s">
        <v>520</v>
      </c>
      <c r="I1104" s="280"/>
      <c r="J1104" s="259"/>
      <c r="K1104" s="208"/>
      <c r="L1104" s="217"/>
      <c r="M1104" s="494"/>
      <c r="N1104" s="535"/>
      <c r="O1104" s="221"/>
      <c r="P1104" s="220"/>
      <c r="Q1104" s="381"/>
      <c r="R1104" s="222">
        <f t="shared" si="48"/>
        <v>0</v>
      </c>
      <c r="S1104" s="222"/>
      <c r="T1104" s="222"/>
      <c r="U1104" s="222"/>
      <c r="V1104" s="222"/>
    </row>
    <row r="1105" spans="1:30" ht="15.6" outlineLevel="1" x14ac:dyDescent="0.3">
      <c r="A1105" s="345"/>
      <c r="B1105" s="353"/>
      <c r="C1105" s="217"/>
      <c r="D1105" s="218"/>
      <c r="E1105" s="217" t="s">
        <v>574</v>
      </c>
      <c r="F1105" s="280" t="s">
        <v>519</v>
      </c>
      <c r="G1105" s="218"/>
      <c r="H1105" s="208" t="s">
        <v>520</v>
      </c>
      <c r="I1105" s="280"/>
      <c r="J1105" s="259"/>
      <c r="K1105" s="208"/>
      <c r="L1105" s="217"/>
      <c r="M1105" s="494"/>
      <c r="N1105" s="535"/>
      <c r="O1105" s="221"/>
      <c r="P1105" s="220"/>
      <c r="Q1105" s="381"/>
      <c r="R1105" s="222">
        <f t="shared" si="48"/>
        <v>0</v>
      </c>
      <c r="S1105" s="222"/>
      <c r="T1105" s="222"/>
      <c r="U1105" s="222"/>
      <c r="V1105" s="222"/>
    </row>
    <row r="1106" spans="1:30" ht="15.6" outlineLevel="1" x14ac:dyDescent="0.3">
      <c r="A1106" s="345"/>
      <c r="B1106" s="353"/>
      <c r="C1106" s="217"/>
      <c r="D1106" s="218"/>
      <c r="E1106" s="217" t="s">
        <v>743</v>
      </c>
      <c r="F1106" s="280" t="s">
        <v>519</v>
      </c>
      <c r="G1106" s="218"/>
      <c r="H1106" s="208" t="s">
        <v>520</v>
      </c>
      <c r="I1106" s="280"/>
      <c r="J1106" s="259"/>
      <c r="K1106" s="208"/>
      <c r="L1106" s="217"/>
      <c r="M1106" s="494"/>
      <c r="N1106" s="535"/>
      <c r="O1106" s="221"/>
      <c r="P1106" s="220"/>
      <c r="Q1106" s="381"/>
      <c r="R1106" s="222">
        <f t="shared" si="48"/>
        <v>0</v>
      </c>
      <c r="S1106" s="222"/>
      <c r="T1106" s="222"/>
      <c r="U1106" s="222"/>
      <c r="V1106" s="222"/>
    </row>
    <row r="1107" spans="1:30" ht="15.6" outlineLevel="1" x14ac:dyDescent="0.3">
      <c r="A1107" s="345"/>
      <c r="B1107" s="353"/>
      <c r="C1107" s="217"/>
      <c r="D1107" s="218"/>
      <c r="E1107" s="217" t="s">
        <v>574</v>
      </c>
      <c r="F1107" s="280" t="s">
        <v>519</v>
      </c>
      <c r="G1107" s="218"/>
      <c r="H1107" s="208" t="s">
        <v>520</v>
      </c>
      <c r="I1107" s="280"/>
      <c r="J1107" s="259"/>
      <c r="K1107" s="208"/>
      <c r="L1107" s="217"/>
      <c r="M1107" s="494"/>
      <c r="N1107" s="535"/>
      <c r="O1107" s="221"/>
      <c r="P1107" s="220"/>
      <c r="Q1107" s="381"/>
      <c r="R1107" s="222">
        <f t="shared" si="48"/>
        <v>0</v>
      </c>
      <c r="S1107" s="222"/>
      <c r="T1107" s="222"/>
      <c r="U1107" s="222"/>
      <c r="V1107" s="222"/>
    </row>
    <row r="1108" spans="1:30" ht="15.6" outlineLevel="1" x14ac:dyDescent="0.3">
      <c r="A1108" s="345"/>
      <c r="B1108" s="353"/>
      <c r="C1108" s="217"/>
      <c r="D1108" s="218"/>
      <c r="E1108" s="217" t="s">
        <v>574</v>
      </c>
      <c r="F1108" s="280" t="s">
        <v>519</v>
      </c>
      <c r="G1108" s="218"/>
      <c r="H1108" s="208" t="s">
        <v>520</v>
      </c>
      <c r="I1108" s="280"/>
      <c r="J1108" s="259"/>
      <c r="K1108" s="208"/>
      <c r="L1108" s="217"/>
      <c r="M1108" s="494"/>
      <c r="N1108" s="535"/>
      <c r="O1108" s="221"/>
      <c r="P1108" s="220"/>
      <c r="Q1108" s="381"/>
      <c r="R1108" s="222">
        <f t="shared" si="48"/>
        <v>0</v>
      </c>
      <c r="S1108" s="222"/>
      <c r="T1108" s="222"/>
      <c r="U1108" s="222"/>
      <c r="V1108" s="222"/>
    </row>
    <row r="1109" spans="1:30" ht="15.6" outlineLevel="1" x14ac:dyDescent="0.3">
      <c r="A1109" s="345"/>
      <c r="B1109" s="353"/>
      <c r="C1109" s="217"/>
      <c r="D1109" s="218"/>
      <c r="E1109" s="217" t="s">
        <v>574</v>
      </c>
      <c r="F1109" s="280" t="s">
        <v>519</v>
      </c>
      <c r="G1109" s="218"/>
      <c r="H1109" s="208" t="s">
        <v>520</v>
      </c>
      <c r="I1109" s="280"/>
      <c r="J1109" s="259"/>
      <c r="K1109" s="208"/>
      <c r="L1109" s="217"/>
      <c r="M1109" s="494"/>
      <c r="N1109" s="535"/>
      <c r="O1109" s="221"/>
      <c r="P1109" s="220"/>
      <c r="Q1109" s="381"/>
      <c r="R1109" s="222">
        <f t="shared" si="48"/>
        <v>0</v>
      </c>
      <c r="S1109" s="222"/>
      <c r="T1109" s="222"/>
      <c r="U1109" s="222"/>
      <c r="V1109" s="222"/>
    </row>
    <row r="1110" spans="1:30" ht="15.6" outlineLevel="1" x14ac:dyDescent="0.3">
      <c r="A1110" s="345"/>
      <c r="B1110" s="353"/>
      <c r="C1110" s="252"/>
      <c r="D1110" s="583"/>
      <c r="E1110" s="327" t="s">
        <v>739</v>
      </c>
      <c r="F1110" s="280" t="s">
        <v>519</v>
      </c>
      <c r="G1110" s="218"/>
      <c r="H1110" s="208" t="s">
        <v>520</v>
      </c>
      <c r="I1110" s="280"/>
      <c r="J1110" s="259"/>
      <c r="K1110" s="208"/>
      <c r="L1110" s="217"/>
      <c r="M1110" s="494"/>
      <c r="N1110" s="535"/>
      <c r="O1110" s="221"/>
      <c r="P1110" s="220"/>
      <c r="Q1110" s="381"/>
      <c r="R1110" s="222">
        <f t="shared" si="48"/>
        <v>0</v>
      </c>
      <c r="S1110" s="222"/>
      <c r="T1110" s="222"/>
      <c r="U1110" s="222"/>
      <c r="V1110" s="222"/>
    </row>
    <row r="1111" spans="1:30" ht="15.6" outlineLevel="1" x14ac:dyDescent="0.3">
      <c r="A1111" s="345"/>
      <c r="B1111" s="353"/>
      <c r="C1111" s="252"/>
      <c r="D1111" s="583"/>
      <c r="E1111" s="327" t="s">
        <v>574</v>
      </c>
      <c r="F1111" s="280" t="s">
        <v>519</v>
      </c>
      <c r="G1111" s="218"/>
      <c r="H1111" s="208" t="s">
        <v>520</v>
      </c>
      <c r="I1111" s="280"/>
      <c r="J1111" s="259"/>
      <c r="K1111" s="208"/>
      <c r="L1111" s="217"/>
      <c r="M1111" s="494"/>
      <c r="N1111" s="535"/>
      <c r="O1111" s="221"/>
      <c r="P1111" s="220"/>
      <c r="Q1111" s="381"/>
      <c r="R1111" s="222">
        <f t="shared" si="48"/>
        <v>0</v>
      </c>
      <c r="S1111" s="222"/>
      <c r="T1111" s="222"/>
      <c r="U1111" s="222"/>
      <c r="V1111" s="222"/>
    </row>
    <row r="1112" spans="1:30" ht="15.6" outlineLevel="1" x14ac:dyDescent="0.3">
      <c r="A1112" s="345"/>
      <c r="B1112" s="353"/>
      <c r="C1112" s="252"/>
      <c r="D1112" s="583"/>
      <c r="E1112" s="327" t="s">
        <v>574</v>
      </c>
      <c r="F1112" s="280" t="s">
        <v>519</v>
      </c>
      <c r="G1112" s="218"/>
      <c r="H1112" s="208" t="s">
        <v>520</v>
      </c>
      <c r="I1112" s="280"/>
      <c r="J1112" s="259"/>
      <c r="K1112" s="208"/>
      <c r="L1112" s="217"/>
      <c r="M1112" s="494"/>
      <c r="N1112" s="535"/>
      <c r="O1112" s="221"/>
      <c r="P1112" s="220"/>
      <c r="Q1112" s="381"/>
      <c r="R1112" s="222">
        <f t="shared" si="48"/>
        <v>0</v>
      </c>
      <c r="S1112" s="222"/>
      <c r="T1112" s="222"/>
      <c r="U1112" s="222"/>
      <c r="V1112" s="222"/>
    </row>
    <row r="1113" spans="1:30" ht="15.6" outlineLevel="1" x14ac:dyDescent="0.3">
      <c r="A1113" s="345"/>
      <c r="B1113" s="353"/>
      <c r="C1113" s="252"/>
      <c r="D1113" s="583"/>
      <c r="E1113" s="327" t="s">
        <v>574</v>
      </c>
      <c r="F1113" s="280" t="s">
        <v>519</v>
      </c>
      <c r="G1113" s="218"/>
      <c r="H1113" s="208" t="s">
        <v>520</v>
      </c>
      <c r="I1113" s="280"/>
      <c r="J1113" s="259"/>
      <c r="K1113" s="208"/>
      <c r="L1113" s="217"/>
      <c r="M1113" s="494"/>
      <c r="N1113" s="535"/>
      <c r="O1113" s="221"/>
      <c r="P1113" s="220"/>
      <c r="Q1113" s="381"/>
      <c r="R1113" s="222">
        <f t="shared" si="48"/>
        <v>0</v>
      </c>
      <c r="S1113" s="222"/>
      <c r="T1113" s="222"/>
      <c r="U1113" s="222"/>
      <c r="V1113" s="222"/>
    </row>
    <row r="1114" spans="1:30" ht="15.6" outlineLevel="1" x14ac:dyDescent="0.3">
      <c r="A1114" s="330"/>
      <c r="B1114" s="353"/>
      <c r="C1114" s="249"/>
      <c r="D1114" s="583"/>
      <c r="E1114" s="327" t="s">
        <v>736</v>
      </c>
      <c r="F1114" s="217" t="s">
        <v>519</v>
      </c>
      <c r="G1114" s="218"/>
      <c r="H1114" s="208" t="s">
        <v>520</v>
      </c>
      <c r="I1114" s="241"/>
      <c r="J1114" s="241"/>
      <c r="K1114" s="250"/>
      <c r="L1114" s="241"/>
      <c r="M1114" s="499"/>
      <c r="N1114" s="518"/>
      <c r="O1114" s="296"/>
      <c r="P1114" s="297"/>
      <c r="Q1114" s="384"/>
      <c r="R1114" s="222">
        <f t="shared" si="48"/>
        <v>0</v>
      </c>
      <c r="S1114" s="347"/>
      <c r="T1114" s="347"/>
      <c r="U1114" s="347"/>
      <c r="V1114" s="347"/>
    </row>
    <row r="1115" spans="1:30" s="45" customFormat="1" ht="15.6" outlineLevel="1" x14ac:dyDescent="0.3">
      <c r="A1115" s="330"/>
      <c r="B1115" s="353"/>
      <c r="C1115" s="249"/>
      <c r="D1115" s="583"/>
      <c r="E1115" s="327" t="s">
        <v>574</v>
      </c>
      <c r="F1115" s="217" t="s">
        <v>519</v>
      </c>
      <c r="G1115" s="218"/>
      <c r="H1115" s="208" t="s">
        <v>520</v>
      </c>
      <c r="I1115" s="241"/>
      <c r="J1115" s="241"/>
      <c r="K1115" s="250"/>
      <c r="L1115" s="241"/>
      <c r="M1115" s="499"/>
      <c r="N1115" s="518"/>
      <c r="O1115" s="296"/>
      <c r="P1115" s="297"/>
      <c r="Q1115" s="384"/>
      <c r="R1115" s="222">
        <f t="shared" si="48"/>
        <v>0</v>
      </c>
      <c r="S1115" s="347"/>
      <c r="T1115" s="347"/>
      <c r="U1115" s="347"/>
      <c r="V1115" s="347"/>
      <c r="AC1115" s="414"/>
      <c r="AD1115" s="471"/>
    </row>
    <row r="1116" spans="1:30" ht="15.6" outlineLevel="1" x14ac:dyDescent="0.3">
      <c r="A1116" s="345"/>
      <c r="B1116" s="353"/>
      <c r="C1116" s="252"/>
      <c r="D1116" s="583"/>
      <c r="E1116" s="327" t="s">
        <v>574</v>
      </c>
      <c r="F1116" s="280" t="s">
        <v>519</v>
      </c>
      <c r="G1116" s="218"/>
      <c r="H1116" s="208" t="s">
        <v>520</v>
      </c>
      <c r="I1116" s="280"/>
      <c r="J1116" s="259"/>
      <c r="K1116" s="208"/>
      <c r="L1116" s="217"/>
      <c r="M1116" s="494"/>
      <c r="N1116" s="535"/>
      <c r="O1116" s="221"/>
      <c r="P1116" s="220"/>
      <c r="Q1116" s="381"/>
      <c r="R1116" s="222">
        <f t="shared" si="48"/>
        <v>0</v>
      </c>
      <c r="S1116" s="222"/>
      <c r="T1116" s="222"/>
      <c r="U1116" s="222"/>
      <c r="V1116" s="222"/>
    </row>
    <row r="1117" spans="1:30" ht="15.6" outlineLevel="1" x14ac:dyDescent="0.3">
      <c r="A1117" s="345"/>
      <c r="B1117" s="353"/>
      <c r="C1117" s="252"/>
      <c r="D1117" s="583"/>
      <c r="E1117" s="327" t="s">
        <v>574</v>
      </c>
      <c r="F1117" s="280" t="s">
        <v>519</v>
      </c>
      <c r="G1117" s="218"/>
      <c r="H1117" s="208" t="s">
        <v>520</v>
      </c>
      <c r="I1117" s="280"/>
      <c r="J1117" s="259"/>
      <c r="K1117" s="208"/>
      <c r="L1117" s="217"/>
      <c r="M1117" s="494"/>
      <c r="N1117" s="535"/>
      <c r="O1117" s="221"/>
      <c r="P1117" s="220"/>
      <c r="Q1117" s="381"/>
      <c r="R1117" s="222">
        <f t="shared" si="48"/>
        <v>0</v>
      </c>
      <c r="S1117" s="222"/>
      <c r="T1117" s="222"/>
      <c r="U1117" s="222"/>
      <c r="V1117" s="222"/>
    </row>
    <row r="1118" spans="1:30" ht="15.6" outlineLevel="1" x14ac:dyDescent="0.3">
      <c r="A1118" s="345"/>
      <c r="B1118" s="353"/>
      <c r="C1118" s="252"/>
      <c r="D1118" s="583"/>
      <c r="E1118" s="327" t="s">
        <v>574</v>
      </c>
      <c r="F1118" s="280" t="s">
        <v>519</v>
      </c>
      <c r="G1118" s="218"/>
      <c r="H1118" s="208" t="s">
        <v>520</v>
      </c>
      <c r="I1118" s="280"/>
      <c r="J1118" s="259"/>
      <c r="K1118" s="208"/>
      <c r="L1118" s="217"/>
      <c r="M1118" s="494"/>
      <c r="N1118" s="535"/>
      <c r="O1118" s="221"/>
      <c r="P1118" s="220"/>
      <c r="Q1118" s="381"/>
      <c r="R1118" s="222">
        <f t="shared" si="48"/>
        <v>0</v>
      </c>
      <c r="S1118" s="222"/>
      <c r="T1118" s="222"/>
      <c r="U1118" s="222"/>
      <c r="V1118" s="222"/>
    </row>
    <row r="1119" spans="1:30" ht="15.6" outlineLevel="1" x14ac:dyDescent="0.3">
      <c r="A1119" s="345"/>
      <c r="B1119" s="353"/>
      <c r="C1119" s="252"/>
      <c r="D1119" s="583"/>
      <c r="E1119" s="327" t="s">
        <v>574</v>
      </c>
      <c r="F1119" s="280" t="s">
        <v>519</v>
      </c>
      <c r="G1119" s="218"/>
      <c r="H1119" s="208" t="s">
        <v>520</v>
      </c>
      <c r="I1119" s="280"/>
      <c r="J1119" s="259"/>
      <c r="K1119" s="208"/>
      <c r="L1119" s="217"/>
      <c r="M1119" s="494"/>
      <c r="N1119" s="535"/>
      <c r="O1119" s="221"/>
      <c r="P1119" s="220"/>
      <c r="Q1119" s="381"/>
      <c r="R1119" s="222">
        <f t="shared" si="48"/>
        <v>0</v>
      </c>
      <c r="S1119" s="222"/>
      <c r="T1119" s="222"/>
      <c r="U1119" s="222"/>
      <c r="V1119" s="222"/>
    </row>
    <row r="1120" spans="1:30" ht="15.6" outlineLevel="1" x14ac:dyDescent="0.3">
      <c r="A1120" s="345"/>
      <c r="B1120" s="353"/>
      <c r="C1120" s="252"/>
      <c r="D1120" s="583"/>
      <c r="E1120" s="327" t="s">
        <v>574</v>
      </c>
      <c r="F1120" s="280" t="s">
        <v>519</v>
      </c>
      <c r="G1120" s="218"/>
      <c r="H1120" s="208" t="s">
        <v>520</v>
      </c>
      <c r="I1120" s="280"/>
      <c r="J1120" s="259"/>
      <c r="K1120" s="208"/>
      <c r="L1120" s="217"/>
      <c r="M1120" s="494"/>
      <c r="N1120" s="535"/>
      <c r="O1120" s="221"/>
      <c r="P1120" s="220"/>
      <c r="Q1120" s="381"/>
      <c r="R1120" s="222">
        <f t="shared" si="48"/>
        <v>0</v>
      </c>
      <c r="S1120" s="222"/>
      <c r="T1120" s="222"/>
      <c r="U1120" s="222"/>
      <c r="V1120" s="222"/>
    </row>
    <row r="1121" spans="1:22" ht="15.6" outlineLevel="1" x14ac:dyDescent="0.3">
      <c r="A1121" s="345"/>
      <c r="B1121" s="353"/>
      <c r="C1121" s="252"/>
      <c r="D1121" s="583"/>
      <c r="E1121" s="327" t="s">
        <v>574</v>
      </c>
      <c r="F1121" s="280" t="s">
        <v>519</v>
      </c>
      <c r="G1121" s="218"/>
      <c r="H1121" s="208" t="s">
        <v>520</v>
      </c>
      <c r="I1121" s="280"/>
      <c r="J1121" s="259"/>
      <c r="K1121" s="208"/>
      <c r="L1121" s="217"/>
      <c r="M1121" s="494"/>
      <c r="N1121" s="535"/>
      <c r="O1121" s="221"/>
      <c r="P1121" s="220"/>
      <c r="Q1121" s="381"/>
      <c r="R1121" s="222">
        <f t="shared" ref="R1121:R1146" si="49">SUM(S1121,T1121,U1121,V1121)</f>
        <v>0</v>
      </c>
      <c r="S1121" s="222"/>
      <c r="T1121" s="222"/>
      <c r="U1121" s="222"/>
      <c r="V1121" s="222"/>
    </row>
    <row r="1122" spans="1:22" ht="15.6" outlineLevel="1" x14ac:dyDescent="0.3">
      <c r="A1122" s="345"/>
      <c r="B1122" s="353"/>
      <c r="C1122" s="252"/>
      <c r="D1122" s="583"/>
      <c r="E1122" s="327" t="s">
        <v>574</v>
      </c>
      <c r="F1122" s="280" t="s">
        <v>519</v>
      </c>
      <c r="G1122" s="218"/>
      <c r="H1122" s="208" t="s">
        <v>520</v>
      </c>
      <c r="I1122" s="280"/>
      <c r="J1122" s="259"/>
      <c r="K1122" s="208"/>
      <c r="L1122" s="217"/>
      <c r="M1122" s="494"/>
      <c r="N1122" s="535"/>
      <c r="O1122" s="221"/>
      <c r="P1122" s="220"/>
      <c r="Q1122" s="381"/>
      <c r="R1122" s="222">
        <f t="shared" si="49"/>
        <v>0</v>
      </c>
      <c r="S1122" s="222"/>
      <c r="T1122" s="222"/>
      <c r="U1122" s="222"/>
      <c r="V1122" s="222"/>
    </row>
    <row r="1123" spans="1:22" ht="15.6" outlineLevel="1" x14ac:dyDescent="0.3">
      <c r="A1123" s="345"/>
      <c r="B1123" s="353"/>
      <c r="C1123" s="217"/>
      <c r="D1123" s="218"/>
      <c r="E1123" s="327" t="s">
        <v>574</v>
      </c>
      <c r="F1123" s="280" t="s">
        <v>519</v>
      </c>
      <c r="G1123" s="218"/>
      <c r="H1123" s="208" t="s">
        <v>520</v>
      </c>
      <c r="I1123" s="280"/>
      <c r="J1123" s="259"/>
      <c r="K1123" s="208"/>
      <c r="L1123" s="217"/>
      <c r="M1123" s="494"/>
      <c r="N1123" s="535"/>
      <c r="O1123" s="221"/>
      <c r="P1123" s="220"/>
      <c r="Q1123" s="381"/>
      <c r="R1123" s="222">
        <f t="shared" si="49"/>
        <v>0</v>
      </c>
      <c r="S1123" s="222"/>
      <c r="T1123" s="222"/>
      <c r="U1123" s="222"/>
      <c r="V1123" s="222"/>
    </row>
    <row r="1124" spans="1:22" ht="15.6" outlineLevel="1" x14ac:dyDescent="0.3">
      <c r="A1124" s="345"/>
      <c r="B1124" s="353"/>
      <c r="C1124" s="217"/>
      <c r="D1124" s="218"/>
      <c r="E1124" s="327" t="s">
        <v>574</v>
      </c>
      <c r="F1124" s="280" t="s">
        <v>519</v>
      </c>
      <c r="G1124" s="218"/>
      <c r="H1124" s="208" t="s">
        <v>520</v>
      </c>
      <c r="I1124" s="280"/>
      <c r="J1124" s="259"/>
      <c r="K1124" s="208"/>
      <c r="L1124" s="217"/>
      <c r="M1124" s="494"/>
      <c r="N1124" s="535"/>
      <c r="O1124" s="221"/>
      <c r="P1124" s="220"/>
      <c r="Q1124" s="381"/>
      <c r="R1124" s="222">
        <f t="shared" si="49"/>
        <v>0</v>
      </c>
      <c r="S1124" s="222"/>
      <c r="T1124" s="222"/>
      <c r="U1124" s="222"/>
      <c r="V1124" s="222"/>
    </row>
    <row r="1125" spans="1:22" ht="15.6" outlineLevel="1" x14ac:dyDescent="0.3">
      <c r="A1125" s="345"/>
      <c r="B1125" s="353"/>
      <c r="C1125" s="217"/>
      <c r="D1125" s="218"/>
      <c r="E1125" s="327" t="s">
        <v>574</v>
      </c>
      <c r="F1125" s="280" t="s">
        <v>519</v>
      </c>
      <c r="G1125" s="218"/>
      <c r="H1125" s="208" t="s">
        <v>520</v>
      </c>
      <c r="I1125" s="280"/>
      <c r="J1125" s="259"/>
      <c r="K1125" s="208"/>
      <c r="L1125" s="217"/>
      <c r="M1125" s="494"/>
      <c r="N1125" s="535"/>
      <c r="O1125" s="221"/>
      <c r="P1125" s="220"/>
      <c r="Q1125" s="381"/>
      <c r="R1125" s="222">
        <f t="shared" si="49"/>
        <v>0</v>
      </c>
      <c r="S1125" s="222"/>
      <c r="T1125" s="222"/>
      <c r="U1125" s="222"/>
      <c r="V1125" s="222"/>
    </row>
    <row r="1126" spans="1:22" ht="15.6" outlineLevel="1" x14ac:dyDescent="0.3">
      <c r="A1126" s="345"/>
      <c r="B1126" s="353"/>
      <c r="C1126" s="217"/>
      <c r="D1126" s="218"/>
      <c r="E1126" s="327" t="s">
        <v>574</v>
      </c>
      <c r="F1126" s="280" t="s">
        <v>519</v>
      </c>
      <c r="G1126" s="218"/>
      <c r="H1126" s="208" t="s">
        <v>520</v>
      </c>
      <c r="I1126" s="280"/>
      <c r="J1126" s="259"/>
      <c r="K1126" s="208"/>
      <c r="L1126" s="217"/>
      <c r="M1126" s="494"/>
      <c r="N1126" s="535"/>
      <c r="O1126" s="221"/>
      <c r="P1126" s="220"/>
      <c r="Q1126" s="381"/>
      <c r="R1126" s="222">
        <f t="shared" si="49"/>
        <v>0</v>
      </c>
      <c r="S1126" s="222"/>
      <c r="T1126" s="222"/>
      <c r="U1126" s="222"/>
      <c r="V1126" s="222"/>
    </row>
    <row r="1127" spans="1:22" ht="15.6" outlineLevel="1" x14ac:dyDescent="0.3">
      <c r="A1127" s="345"/>
      <c r="B1127" s="353"/>
      <c r="C1127" s="217"/>
      <c r="D1127" s="218"/>
      <c r="E1127" s="327" t="s">
        <v>574</v>
      </c>
      <c r="F1127" s="280" t="s">
        <v>519</v>
      </c>
      <c r="G1127" s="218"/>
      <c r="H1127" s="208" t="s">
        <v>520</v>
      </c>
      <c r="I1127" s="280"/>
      <c r="J1127" s="259"/>
      <c r="K1127" s="208"/>
      <c r="L1127" s="217"/>
      <c r="M1127" s="494"/>
      <c r="N1127" s="535"/>
      <c r="O1127" s="221"/>
      <c r="P1127" s="220"/>
      <c r="Q1127" s="381"/>
      <c r="R1127" s="222">
        <f t="shared" si="49"/>
        <v>0</v>
      </c>
      <c r="S1127" s="222"/>
      <c r="T1127" s="222"/>
      <c r="U1127" s="222"/>
      <c r="V1127" s="222"/>
    </row>
    <row r="1128" spans="1:22" ht="15.6" outlineLevel="1" x14ac:dyDescent="0.3">
      <c r="A1128" s="345"/>
      <c r="B1128" s="353"/>
      <c r="C1128" s="217"/>
      <c r="D1128" s="218"/>
      <c r="E1128" s="217" t="s">
        <v>574</v>
      </c>
      <c r="F1128" s="280" t="s">
        <v>519</v>
      </c>
      <c r="G1128" s="218"/>
      <c r="H1128" s="208" t="s">
        <v>520</v>
      </c>
      <c r="I1128" s="280"/>
      <c r="J1128" s="259"/>
      <c r="K1128" s="208"/>
      <c r="L1128" s="217"/>
      <c r="M1128" s="494"/>
      <c r="N1128" s="535"/>
      <c r="O1128" s="221"/>
      <c r="P1128" s="220"/>
      <c r="Q1128" s="381"/>
      <c r="R1128" s="222">
        <f t="shared" si="49"/>
        <v>0</v>
      </c>
      <c r="S1128" s="222"/>
      <c r="T1128" s="222"/>
      <c r="U1128" s="222"/>
      <c r="V1128" s="222"/>
    </row>
    <row r="1129" spans="1:22" ht="15.6" outlineLevel="1" x14ac:dyDescent="0.3">
      <c r="A1129" s="345"/>
      <c r="B1129" s="353"/>
      <c r="C1129" s="217"/>
      <c r="D1129" s="218"/>
      <c r="E1129" s="217" t="s">
        <v>574</v>
      </c>
      <c r="F1129" s="280" t="s">
        <v>519</v>
      </c>
      <c r="G1129" s="218"/>
      <c r="H1129" s="208" t="s">
        <v>520</v>
      </c>
      <c r="I1129" s="280"/>
      <c r="J1129" s="259"/>
      <c r="K1129" s="208"/>
      <c r="L1129" s="217"/>
      <c r="M1129" s="494"/>
      <c r="N1129" s="535"/>
      <c r="O1129" s="221"/>
      <c r="P1129" s="220"/>
      <c r="Q1129" s="381"/>
      <c r="R1129" s="222">
        <f t="shared" si="49"/>
        <v>0</v>
      </c>
      <c r="S1129" s="222"/>
      <c r="T1129" s="222"/>
      <c r="U1129" s="222"/>
      <c r="V1129" s="222"/>
    </row>
    <row r="1130" spans="1:22" ht="15.6" outlineLevel="1" x14ac:dyDescent="0.3">
      <c r="A1130" s="345"/>
      <c r="B1130" s="353"/>
      <c r="C1130" s="217"/>
      <c r="D1130" s="218"/>
      <c r="E1130" s="217" t="s">
        <v>736</v>
      </c>
      <c r="F1130" s="280" t="s">
        <v>519</v>
      </c>
      <c r="G1130" s="218"/>
      <c r="H1130" s="208" t="s">
        <v>520</v>
      </c>
      <c r="I1130" s="280"/>
      <c r="J1130" s="259"/>
      <c r="K1130" s="208"/>
      <c r="L1130" s="217"/>
      <c r="M1130" s="494"/>
      <c r="N1130" s="535"/>
      <c r="O1130" s="221"/>
      <c r="P1130" s="220"/>
      <c r="Q1130" s="381"/>
      <c r="R1130" s="222">
        <f t="shared" si="49"/>
        <v>0</v>
      </c>
      <c r="S1130" s="222"/>
      <c r="T1130" s="222"/>
      <c r="U1130" s="222"/>
      <c r="V1130" s="222"/>
    </row>
    <row r="1131" spans="1:22" ht="15.6" outlineLevel="1" x14ac:dyDescent="0.3">
      <c r="A1131" s="345"/>
      <c r="B1131" s="353"/>
      <c r="C1131" s="217"/>
      <c r="D1131" s="218"/>
      <c r="E1131" s="217" t="s">
        <v>743</v>
      </c>
      <c r="F1131" s="280" t="s">
        <v>519</v>
      </c>
      <c r="G1131" s="218"/>
      <c r="H1131" s="208" t="s">
        <v>520</v>
      </c>
      <c r="I1131" s="280"/>
      <c r="J1131" s="259"/>
      <c r="K1131" s="208"/>
      <c r="L1131" s="217"/>
      <c r="M1131" s="494"/>
      <c r="N1131" s="535"/>
      <c r="O1131" s="221"/>
      <c r="P1131" s="220"/>
      <c r="Q1131" s="381"/>
      <c r="R1131" s="222">
        <f t="shared" si="49"/>
        <v>0</v>
      </c>
      <c r="S1131" s="222"/>
      <c r="T1131" s="222"/>
      <c r="U1131" s="222"/>
      <c r="V1131" s="222"/>
    </row>
    <row r="1132" spans="1:22" ht="15.6" outlineLevel="1" x14ac:dyDescent="0.3">
      <c r="A1132" s="345"/>
      <c r="B1132" s="353"/>
      <c r="C1132" s="217"/>
      <c r="D1132" s="218"/>
      <c r="E1132" s="217" t="s">
        <v>842</v>
      </c>
      <c r="F1132" s="280" t="s">
        <v>519</v>
      </c>
      <c r="G1132" s="218"/>
      <c r="H1132" s="208" t="s">
        <v>520</v>
      </c>
      <c r="I1132" s="280"/>
      <c r="J1132" s="259"/>
      <c r="K1132" s="208"/>
      <c r="L1132" s="217"/>
      <c r="M1132" s="494"/>
      <c r="N1132" s="535"/>
      <c r="O1132" s="221"/>
      <c r="P1132" s="220"/>
      <c r="Q1132" s="381"/>
      <c r="R1132" s="222">
        <f t="shared" si="49"/>
        <v>0</v>
      </c>
      <c r="S1132" s="222"/>
      <c r="T1132" s="222"/>
      <c r="U1132" s="222"/>
      <c r="V1132" s="222"/>
    </row>
    <row r="1133" spans="1:22" ht="15.6" outlineLevel="1" x14ac:dyDescent="0.3">
      <c r="A1133" s="345"/>
      <c r="B1133" s="353"/>
      <c r="C1133" s="217"/>
      <c r="D1133" s="218"/>
      <c r="E1133" s="217" t="s">
        <v>574</v>
      </c>
      <c r="F1133" s="280" t="s">
        <v>519</v>
      </c>
      <c r="G1133" s="218"/>
      <c r="H1133" s="208" t="s">
        <v>520</v>
      </c>
      <c r="I1133" s="280"/>
      <c r="J1133" s="259"/>
      <c r="K1133" s="208"/>
      <c r="L1133" s="217"/>
      <c r="M1133" s="494"/>
      <c r="N1133" s="535"/>
      <c r="O1133" s="221"/>
      <c r="P1133" s="220"/>
      <c r="Q1133" s="381"/>
      <c r="R1133" s="222">
        <f t="shared" si="49"/>
        <v>0</v>
      </c>
      <c r="S1133" s="222"/>
      <c r="T1133" s="222"/>
      <c r="U1133" s="222"/>
      <c r="V1133" s="222"/>
    </row>
    <row r="1134" spans="1:22" ht="15.6" outlineLevel="1" x14ac:dyDescent="0.3">
      <c r="A1134" s="345"/>
      <c r="B1134" s="353"/>
      <c r="C1134" s="217"/>
      <c r="D1134" s="218"/>
      <c r="E1134" s="217" t="s">
        <v>574</v>
      </c>
      <c r="F1134" s="280" t="s">
        <v>519</v>
      </c>
      <c r="G1134" s="218"/>
      <c r="H1134" s="208" t="s">
        <v>520</v>
      </c>
      <c r="I1134" s="280"/>
      <c r="J1134" s="259"/>
      <c r="K1134" s="208"/>
      <c r="L1134" s="217"/>
      <c r="M1134" s="494"/>
      <c r="N1134" s="535"/>
      <c r="O1134" s="221"/>
      <c r="P1134" s="220"/>
      <c r="Q1134" s="381"/>
      <c r="R1134" s="222">
        <f t="shared" si="49"/>
        <v>0</v>
      </c>
      <c r="S1134" s="222"/>
      <c r="T1134" s="222"/>
      <c r="U1134" s="222"/>
      <c r="V1134" s="222"/>
    </row>
    <row r="1135" spans="1:22" ht="15.6" outlineLevel="1" x14ac:dyDescent="0.3">
      <c r="A1135" s="345"/>
      <c r="B1135" s="353"/>
      <c r="C1135" s="217"/>
      <c r="D1135" s="218"/>
      <c r="E1135" s="217" t="s">
        <v>574</v>
      </c>
      <c r="F1135" s="280" t="s">
        <v>519</v>
      </c>
      <c r="G1135" s="218"/>
      <c r="H1135" s="208" t="s">
        <v>520</v>
      </c>
      <c r="I1135" s="280"/>
      <c r="J1135" s="259"/>
      <c r="K1135" s="208"/>
      <c r="L1135" s="217"/>
      <c r="M1135" s="494"/>
      <c r="N1135" s="535"/>
      <c r="O1135" s="221"/>
      <c r="P1135" s="220"/>
      <c r="Q1135" s="381"/>
      <c r="R1135" s="222">
        <f t="shared" si="49"/>
        <v>0</v>
      </c>
      <c r="S1135" s="222"/>
      <c r="T1135" s="222"/>
      <c r="U1135" s="222"/>
      <c r="V1135" s="222"/>
    </row>
    <row r="1136" spans="1:22" ht="15.6" outlineLevel="1" x14ac:dyDescent="0.3">
      <c r="A1136" s="345"/>
      <c r="B1136" s="353"/>
      <c r="C1136" s="217"/>
      <c r="D1136" s="218"/>
      <c r="E1136" s="217" t="s">
        <v>737</v>
      </c>
      <c r="F1136" s="280" t="s">
        <v>519</v>
      </c>
      <c r="G1136" s="218"/>
      <c r="H1136" s="208" t="s">
        <v>520</v>
      </c>
      <c r="I1136" s="280"/>
      <c r="J1136" s="259"/>
      <c r="K1136" s="208"/>
      <c r="L1136" s="217"/>
      <c r="M1136" s="494"/>
      <c r="N1136" s="535"/>
      <c r="O1136" s="221"/>
      <c r="P1136" s="220"/>
      <c r="Q1136" s="381"/>
      <c r="R1136" s="222">
        <f t="shared" si="49"/>
        <v>0</v>
      </c>
      <c r="S1136" s="222"/>
      <c r="T1136" s="222"/>
      <c r="U1136" s="222"/>
      <c r="V1136" s="222"/>
    </row>
    <row r="1137" spans="1:30" ht="15.6" outlineLevel="1" x14ac:dyDescent="0.3">
      <c r="A1137" s="345"/>
      <c r="B1137" s="353"/>
      <c r="C1137" s="217"/>
      <c r="D1137" s="218"/>
      <c r="E1137" s="217" t="s">
        <v>737</v>
      </c>
      <c r="F1137" s="280" t="s">
        <v>519</v>
      </c>
      <c r="G1137" s="218"/>
      <c r="H1137" s="208" t="s">
        <v>520</v>
      </c>
      <c r="I1137" s="280"/>
      <c r="J1137" s="259"/>
      <c r="K1137" s="208"/>
      <c r="L1137" s="217"/>
      <c r="M1137" s="494"/>
      <c r="N1137" s="535"/>
      <c r="O1137" s="221"/>
      <c r="P1137" s="220"/>
      <c r="Q1137" s="381"/>
      <c r="R1137" s="222">
        <f t="shared" si="49"/>
        <v>0</v>
      </c>
      <c r="S1137" s="222"/>
      <c r="T1137" s="222"/>
      <c r="U1137" s="222"/>
      <c r="V1137" s="222"/>
    </row>
    <row r="1138" spans="1:30" ht="15.6" outlineLevel="1" x14ac:dyDescent="0.3">
      <c r="A1138" s="345"/>
      <c r="B1138" s="353"/>
      <c r="C1138" s="217"/>
      <c r="D1138" s="218"/>
      <c r="E1138" s="217" t="s">
        <v>737</v>
      </c>
      <c r="F1138" s="280" t="s">
        <v>519</v>
      </c>
      <c r="G1138" s="218"/>
      <c r="H1138" s="208" t="s">
        <v>520</v>
      </c>
      <c r="I1138" s="280"/>
      <c r="J1138" s="259"/>
      <c r="K1138" s="208"/>
      <c r="L1138" s="217"/>
      <c r="M1138" s="494"/>
      <c r="N1138" s="535"/>
      <c r="O1138" s="221"/>
      <c r="P1138" s="220"/>
      <c r="Q1138" s="381"/>
      <c r="R1138" s="222">
        <f t="shared" si="49"/>
        <v>0</v>
      </c>
      <c r="S1138" s="222"/>
      <c r="T1138" s="222"/>
      <c r="U1138" s="222"/>
      <c r="V1138" s="222"/>
    </row>
    <row r="1139" spans="1:30" ht="15.6" outlineLevel="1" x14ac:dyDescent="0.3">
      <c r="A1139" s="345"/>
      <c r="B1139" s="353"/>
      <c r="C1139" s="217"/>
      <c r="D1139" s="218"/>
      <c r="E1139" s="217" t="s">
        <v>574</v>
      </c>
      <c r="F1139" s="280" t="s">
        <v>519</v>
      </c>
      <c r="G1139" s="218"/>
      <c r="H1139" s="208" t="s">
        <v>520</v>
      </c>
      <c r="I1139" s="280"/>
      <c r="J1139" s="259"/>
      <c r="K1139" s="208"/>
      <c r="L1139" s="217"/>
      <c r="M1139" s="494"/>
      <c r="N1139" s="535"/>
      <c r="O1139" s="221"/>
      <c r="P1139" s="220"/>
      <c r="Q1139" s="381"/>
      <c r="R1139" s="222">
        <f t="shared" si="49"/>
        <v>0</v>
      </c>
      <c r="S1139" s="222"/>
      <c r="T1139" s="222"/>
      <c r="U1139" s="222"/>
      <c r="V1139" s="222"/>
    </row>
    <row r="1140" spans="1:30" ht="15.6" outlineLevel="1" x14ac:dyDescent="0.3">
      <c r="A1140" s="330"/>
      <c r="B1140" s="353"/>
      <c r="C1140" s="241"/>
      <c r="D1140" s="218"/>
      <c r="E1140" s="217" t="s">
        <v>574</v>
      </c>
      <c r="F1140" s="217" t="s">
        <v>519</v>
      </c>
      <c r="G1140" s="218"/>
      <c r="H1140" s="208" t="s">
        <v>520</v>
      </c>
      <c r="I1140" s="241"/>
      <c r="J1140" s="241"/>
      <c r="K1140" s="250"/>
      <c r="L1140" s="241"/>
      <c r="M1140" s="499"/>
      <c r="N1140" s="518"/>
      <c r="O1140" s="296"/>
      <c r="P1140" s="297"/>
      <c r="Q1140" s="384"/>
      <c r="R1140" s="222">
        <f t="shared" si="49"/>
        <v>0</v>
      </c>
      <c r="S1140" s="347"/>
      <c r="T1140" s="347"/>
      <c r="U1140" s="347"/>
      <c r="V1140" s="347"/>
    </row>
    <row r="1141" spans="1:30" s="45" customFormat="1" ht="15.6" outlineLevel="1" x14ac:dyDescent="0.3">
      <c r="A1141" s="330"/>
      <c r="B1141" s="353"/>
      <c r="C1141" s="241"/>
      <c r="D1141" s="218"/>
      <c r="E1141" s="217" t="s">
        <v>574</v>
      </c>
      <c r="F1141" s="217" t="s">
        <v>519</v>
      </c>
      <c r="G1141" s="218"/>
      <c r="H1141" s="208" t="s">
        <v>520</v>
      </c>
      <c r="I1141" s="241"/>
      <c r="J1141" s="241"/>
      <c r="K1141" s="250"/>
      <c r="L1141" s="241"/>
      <c r="M1141" s="499"/>
      <c r="N1141" s="518"/>
      <c r="O1141" s="296"/>
      <c r="P1141" s="297"/>
      <c r="Q1141" s="384"/>
      <c r="R1141" s="222">
        <f t="shared" si="49"/>
        <v>0</v>
      </c>
      <c r="S1141" s="347"/>
      <c r="T1141" s="347"/>
      <c r="U1141" s="347"/>
      <c r="V1141" s="347"/>
      <c r="AC1141" s="414"/>
      <c r="AD1141" s="471"/>
    </row>
    <row r="1142" spans="1:30" ht="15.6" outlineLevel="1" x14ac:dyDescent="0.3">
      <c r="A1142" s="345"/>
      <c r="B1142" s="353"/>
      <c r="C1142" s="217"/>
      <c r="D1142" s="218"/>
      <c r="E1142" s="217" t="s">
        <v>574</v>
      </c>
      <c r="F1142" s="280" t="s">
        <v>519</v>
      </c>
      <c r="G1142" s="218"/>
      <c r="H1142" s="208" t="s">
        <v>520</v>
      </c>
      <c r="I1142" s="280"/>
      <c r="J1142" s="259"/>
      <c r="K1142" s="208"/>
      <c r="L1142" s="217"/>
      <c r="M1142" s="494"/>
      <c r="N1142" s="535"/>
      <c r="O1142" s="221"/>
      <c r="P1142" s="220"/>
      <c r="Q1142" s="381"/>
      <c r="R1142" s="222">
        <f t="shared" si="49"/>
        <v>0</v>
      </c>
      <c r="S1142" s="222"/>
      <c r="T1142" s="222"/>
      <c r="U1142" s="222"/>
      <c r="V1142" s="222"/>
    </row>
    <row r="1143" spans="1:30" ht="15.6" outlineLevel="1" x14ac:dyDescent="0.3">
      <c r="A1143" s="345"/>
      <c r="B1143" s="353"/>
      <c r="C1143" s="217"/>
      <c r="D1143" s="218"/>
      <c r="E1143" s="217" t="s">
        <v>574</v>
      </c>
      <c r="F1143" s="280" t="s">
        <v>519</v>
      </c>
      <c r="G1143" s="218"/>
      <c r="H1143" s="208" t="s">
        <v>520</v>
      </c>
      <c r="I1143" s="280"/>
      <c r="J1143" s="259"/>
      <c r="K1143" s="208"/>
      <c r="L1143" s="217"/>
      <c r="M1143" s="494"/>
      <c r="N1143" s="535"/>
      <c r="O1143" s="221"/>
      <c r="P1143" s="220"/>
      <c r="Q1143" s="381"/>
      <c r="R1143" s="222">
        <f t="shared" si="49"/>
        <v>0</v>
      </c>
      <c r="S1143" s="222"/>
      <c r="T1143" s="222"/>
      <c r="U1143" s="222"/>
      <c r="V1143" s="222"/>
    </row>
    <row r="1144" spans="1:30" ht="15.6" outlineLevel="1" x14ac:dyDescent="0.3">
      <c r="A1144" s="345"/>
      <c r="B1144" s="353"/>
      <c r="C1144" s="217"/>
      <c r="D1144" s="218"/>
      <c r="E1144" s="217" t="s">
        <v>574</v>
      </c>
      <c r="F1144" s="280" t="s">
        <v>519</v>
      </c>
      <c r="G1144" s="218"/>
      <c r="H1144" s="208" t="s">
        <v>520</v>
      </c>
      <c r="I1144" s="280"/>
      <c r="J1144" s="259"/>
      <c r="K1144" s="208"/>
      <c r="L1144" s="217"/>
      <c r="M1144" s="494"/>
      <c r="N1144" s="535"/>
      <c r="O1144" s="221"/>
      <c r="P1144" s="220"/>
      <c r="Q1144" s="381"/>
      <c r="R1144" s="222">
        <f t="shared" si="49"/>
        <v>0</v>
      </c>
      <c r="S1144" s="222"/>
      <c r="T1144" s="222"/>
      <c r="U1144" s="222"/>
      <c r="V1144" s="222"/>
    </row>
    <row r="1145" spans="1:30" ht="15.6" outlineLevel="1" x14ac:dyDescent="0.3">
      <c r="A1145" s="345"/>
      <c r="B1145" s="353"/>
      <c r="C1145" s="217"/>
      <c r="D1145" s="218"/>
      <c r="E1145" s="217" t="s">
        <v>574</v>
      </c>
      <c r="F1145" s="280" t="s">
        <v>519</v>
      </c>
      <c r="G1145" s="218"/>
      <c r="H1145" s="208" t="s">
        <v>520</v>
      </c>
      <c r="I1145" s="280"/>
      <c r="J1145" s="259"/>
      <c r="K1145" s="208"/>
      <c r="L1145" s="217"/>
      <c r="M1145" s="494"/>
      <c r="N1145" s="535"/>
      <c r="O1145" s="221"/>
      <c r="P1145" s="220"/>
      <c r="Q1145" s="381"/>
      <c r="R1145" s="222">
        <f t="shared" si="49"/>
        <v>0</v>
      </c>
      <c r="S1145" s="222"/>
      <c r="T1145" s="222"/>
      <c r="U1145" s="222"/>
      <c r="V1145" s="222"/>
    </row>
    <row r="1146" spans="1:30" ht="15.6" outlineLevel="1" x14ac:dyDescent="0.3">
      <c r="A1146" s="345"/>
      <c r="B1146" s="353"/>
      <c r="C1146" s="217"/>
      <c r="D1146" s="218"/>
      <c r="E1146" s="217" t="s">
        <v>574</v>
      </c>
      <c r="F1146" s="280" t="s">
        <v>519</v>
      </c>
      <c r="G1146" s="218"/>
      <c r="H1146" s="208" t="s">
        <v>520</v>
      </c>
      <c r="I1146" s="280"/>
      <c r="J1146" s="259"/>
      <c r="K1146" s="208"/>
      <c r="L1146" s="217"/>
      <c r="M1146" s="494"/>
      <c r="N1146" s="535"/>
      <c r="O1146" s="221"/>
      <c r="P1146" s="220"/>
      <c r="Q1146" s="381"/>
      <c r="R1146" s="222">
        <f t="shared" si="49"/>
        <v>0</v>
      </c>
      <c r="S1146" s="222"/>
      <c r="T1146" s="222"/>
      <c r="U1146" s="222"/>
      <c r="V1146" s="222"/>
    </row>
    <row r="1147" spans="1:30" ht="15.6" outlineLevel="1" x14ac:dyDescent="0.3">
      <c r="A1147" s="345"/>
      <c r="B1147" s="353"/>
      <c r="C1147" s="217"/>
      <c r="D1147" s="218"/>
      <c r="E1147" s="217" t="s">
        <v>739</v>
      </c>
      <c r="F1147" s="280" t="s">
        <v>519</v>
      </c>
      <c r="G1147" s="218"/>
      <c r="H1147" s="208" t="s">
        <v>520</v>
      </c>
      <c r="I1147" s="280"/>
      <c r="J1147" s="259"/>
      <c r="K1147" s="208"/>
      <c r="L1147" s="217"/>
      <c r="M1147" s="494"/>
      <c r="N1147" s="535"/>
      <c r="O1147" s="221"/>
      <c r="P1147" s="220"/>
      <c r="Q1147" s="381"/>
      <c r="R1147" s="222">
        <f t="shared" ref="R1147:R1154" si="50">SUM(S1147,T1147,U1147,V1147)</f>
        <v>0</v>
      </c>
      <c r="S1147" s="222"/>
      <c r="T1147" s="222"/>
      <c r="U1147" s="222"/>
      <c r="V1147" s="222"/>
    </row>
    <row r="1148" spans="1:30" ht="15.6" outlineLevel="1" x14ac:dyDescent="0.3">
      <c r="A1148" s="345"/>
      <c r="B1148" s="353"/>
      <c r="C1148" s="217"/>
      <c r="D1148" s="218"/>
      <c r="E1148" s="217" t="s">
        <v>739</v>
      </c>
      <c r="F1148" s="280" t="s">
        <v>519</v>
      </c>
      <c r="G1148" s="218"/>
      <c r="H1148" s="208" t="s">
        <v>520</v>
      </c>
      <c r="I1148" s="280"/>
      <c r="J1148" s="259"/>
      <c r="K1148" s="208"/>
      <c r="L1148" s="217"/>
      <c r="M1148" s="494"/>
      <c r="N1148" s="535"/>
      <c r="O1148" s="221"/>
      <c r="P1148" s="220"/>
      <c r="Q1148" s="381"/>
      <c r="R1148" s="222">
        <f t="shared" si="50"/>
        <v>0</v>
      </c>
      <c r="S1148" s="222"/>
      <c r="T1148" s="222"/>
      <c r="U1148" s="222"/>
      <c r="V1148" s="222"/>
    </row>
    <row r="1149" spans="1:30" ht="15.6" outlineLevel="1" x14ac:dyDescent="0.3">
      <c r="A1149" s="345"/>
      <c r="B1149" s="353"/>
      <c r="C1149" s="217"/>
      <c r="D1149" s="218"/>
      <c r="E1149" s="217" t="s">
        <v>739</v>
      </c>
      <c r="F1149" s="280" t="s">
        <v>519</v>
      </c>
      <c r="G1149" s="218"/>
      <c r="H1149" s="208" t="s">
        <v>520</v>
      </c>
      <c r="I1149" s="280"/>
      <c r="J1149" s="259"/>
      <c r="K1149" s="208"/>
      <c r="L1149" s="217"/>
      <c r="M1149" s="494"/>
      <c r="N1149" s="535"/>
      <c r="O1149" s="221"/>
      <c r="P1149" s="220"/>
      <c r="Q1149" s="381"/>
      <c r="R1149" s="222">
        <f t="shared" si="50"/>
        <v>0</v>
      </c>
      <c r="S1149" s="222"/>
      <c r="T1149" s="222"/>
      <c r="U1149" s="222"/>
      <c r="V1149" s="222"/>
    </row>
    <row r="1150" spans="1:30" ht="15.6" outlineLevel="1" x14ac:dyDescent="0.3">
      <c r="A1150" s="345"/>
      <c r="B1150" s="353"/>
      <c r="C1150" s="217"/>
      <c r="D1150" s="218"/>
      <c r="E1150" s="217" t="s">
        <v>574</v>
      </c>
      <c r="F1150" s="280" t="s">
        <v>519</v>
      </c>
      <c r="G1150" s="218"/>
      <c r="H1150" s="208" t="s">
        <v>520</v>
      </c>
      <c r="I1150" s="280"/>
      <c r="J1150" s="259"/>
      <c r="K1150" s="208"/>
      <c r="L1150" s="217"/>
      <c r="M1150" s="494"/>
      <c r="N1150" s="535"/>
      <c r="O1150" s="221"/>
      <c r="P1150" s="220"/>
      <c r="Q1150" s="381"/>
      <c r="R1150" s="222">
        <f t="shared" si="50"/>
        <v>0</v>
      </c>
      <c r="S1150" s="222"/>
      <c r="T1150" s="222"/>
      <c r="U1150" s="222"/>
      <c r="V1150" s="222"/>
    </row>
    <row r="1151" spans="1:30" ht="15.6" outlineLevel="1" x14ac:dyDescent="0.3">
      <c r="A1151" s="345"/>
      <c r="B1151" s="353"/>
      <c r="C1151" s="217"/>
      <c r="D1151" s="218"/>
      <c r="E1151" s="217" t="s">
        <v>574</v>
      </c>
      <c r="F1151" s="280" t="s">
        <v>519</v>
      </c>
      <c r="G1151" s="218"/>
      <c r="H1151" s="208" t="s">
        <v>520</v>
      </c>
      <c r="I1151" s="280"/>
      <c r="J1151" s="259"/>
      <c r="K1151" s="208"/>
      <c r="L1151" s="217"/>
      <c r="M1151" s="494"/>
      <c r="N1151" s="535"/>
      <c r="O1151" s="221"/>
      <c r="P1151" s="220"/>
      <c r="Q1151" s="381"/>
      <c r="R1151" s="222">
        <f t="shared" si="50"/>
        <v>0</v>
      </c>
      <c r="S1151" s="222"/>
      <c r="T1151" s="222"/>
      <c r="U1151" s="222"/>
      <c r="V1151" s="222"/>
    </row>
    <row r="1152" spans="1:30" ht="15.6" outlineLevel="1" x14ac:dyDescent="0.3">
      <c r="A1152" s="345"/>
      <c r="B1152" s="353"/>
      <c r="C1152" s="217"/>
      <c r="D1152" s="218"/>
      <c r="E1152" s="217" t="s">
        <v>574</v>
      </c>
      <c r="F1152" s="280" t="s">
        <v>519</v>
      </c>
      <c r="G1152" s="218"/>
      <c r="H1152" s="208" t="s">
        <v>520</v>
      </c>
      <c r="I1152" s="280"/>
      <c r="J1152" s="259"/>
      <c r="K1152" s="208"/>
      <c r="L1152" s="217"/>
      <c r="M1152" s="494"/>
      <c r="N1152" s="535"/>
      <c r="O1152" s="221"/>
      <c r="P1152" s="220"/>
      <c r="Q1152" s="381"/>
      <c r="R1152" s="222">
        <f t="shared" si="50"/>
        <v>0</v>
      </c>
      <c r="S1152" s="222"/>
      <c r="T1152" s="222"/>
      <c r="U1152" s="222"/>
      <c r="V1152" s="222"/>
    </row>
    <row r="1153" spans="1:30" ht="15.6" outlineLevel="1" x14ac:dyDescent="0.3">
      <c r="A1153" s="345"/>
      <c r="B1153" s="353"/>
      <c r="C1153" s="217"/>
      <c r="D1153" s="218"/>
      <c r="E1153" s="217" t="s">
        <v>736</v>
      </c>
      <c r="F1153" s="280" t="s">
        <v>519</v>
      </c>
      <c r="G1153" s="218"/>
      <c r="H1153" s="208" t="s">
        <v>520</v>
      </c>
      <c r="I1153" s="280"/>
      <c r="J1153" s="259"/>
      <c r="K1153" s="208"/>
      <c r="L1153" s="217"/>
      <c r="M1153" s="494"/>
      <c r="N1153" s="535"/>
      <c r="O1153" s="221"/>
      <c r="P1153" s="220"/>
      <c r="Q1153" s="381"/>
      <c r="R1153" s="222">
        <f t="shared" si="50"/>
        <v>0</v>
      </c>
      <c r="S1153" s="222"/>
      <c r="T1153" s="222"/>
      <c r="U1153" s="222"/>
      <c r="V1153" s="222"/>
    </row>
    <row r="1154" spans="1:30" ht="15.6" outlineLevel="1" x14ac:dyDescent="0.3">
      <c r="A1154" s="345"/>
      <c r="B1154" s="353"/>
      <c r="C1154" s="217"/>
      <c r="D1154" s="218"/>
      <c r="E1154" s="217" t="s">
        <v>574</v>
      </c>
      <c r="F1154" s="280" t="s">
        <v>519</v>
      </c>
      <c r="G1154" s="218"/>
      <c r="H1154" s="208" t="s">
        <v>520</v>
      </c>
      <c r="I1154" s="280"/>
      <c r="J1154" s="259"/>
      <c r="K1154" s="208"/>
      <c r="L1154" s="217"/>
      <c r="M1154" s="494"/>
      <c r="N1154" s="535"/>
      <c r="O1154" s="221"/>
      <c r="P1154" s="220"/>
      <c r="Q1154" s="381"/>
      <c r="R1154" s="222">
        <f t="shared" si="50"/>
        <v>0</v>
      </c>
      <c r="S1154" s="222"/>
      <c r="T1154" s="222"/>
      <c r="U1154" s="222"/>
      <c r="V1154" s="222"/>
    </row>
    <row r="1155" spans="1:30" ht="15.6" outlineLevel="1" x14ac:dyDescent="0.3">
      <c r="A1155" s="345"/>
      <c r="B1155" s="353"/>
      <c r="C1155" s="217"/>
      <c r="D1155" s="218"/>
      <c r="E1155" s="217" t="s">
        <v>574</v>
      </c>
      <c r="F1155" s="280" t="s">
        <v>519</v>
      </c>
      <c r="G1155" s="218"/>
      <c r="H1155" s="208" t="s">
        <v>520</v>
      </c>
      <c r="I1155" s="280"/>
      <c r="J1155" s="259"/>
      <c r="K1155" s="208"/>
      <c r="L1155" s="217"/>
      <c r="M1155" s="494"/>
      <c r="N1155" s="535"/>
      <c r="O1155" s="221"/>
      <c r="P1155" s="220"/>
      <c r="Q1155" s="381"/>
      <c r="R1155" s="222">
        <f t="shared" ref="R1155:R1161" si="51">SUM(S1155,T1155,U1155,V1155)</f>
        <v>0</v>
      </c>
      <c r="S1155" s="222"/>
      <c r="T1155" s="222"/>
      <c r="U1155" s="222"/>
      <c r="V1155" s="222"/>
    </row>
    <row r="1156" spans="1:30" ht="15.6" outlineLevel="1" x14ac:dyDescent="0.3">
      <c r="A1156" s="345"/>
      <c r="B1156" s="353"/>
      <c r="C1156" s="217"/>
      <c r="D1156" s="218"/>
      <c r="E1156" s="217" t="s">
        <v>574</v>
      </c>
      <c r="F1156" s="280" t="s">
        <v>519</v>
      </c>
      <c r="G1156" s="218"/>
      <c r="H1156" s="208" t="s">
        <v>520</v>
      </c>
      <c r="I1156" s="280"/>
      <c r="J1156" s="259"/>
      <c r="K1156" s="208"/>
      <c r="L1156" s="217"/>
      <c r="M1156" s="494"/>
      <c r="N1156" s="535"/>
      <c r="O1156" s="221"/>
      <c r="P1156" s="220"/>
      <c r="Q1156" s="381"/>
      <c r="R1156" s="222">
        <f>SUM(S1156,T1156,U1156,V1156)</f>
        <v>0</v>
      </c>
      <c r="S1156" s="222"/>
      <c r="T1156" s="222"/>
      <c r="U1156" s="222"/>
      <c r="V1156" s="222"/>
    </row>
    <row r="1157" spans="1:30" ht="15.6" outlineLevel="1" x14ac:dyDescent="0.3">
      <c r="A1157" s="345"/>
      <c r="B1157" s="353"/>
      <c r="C1157" s="217"/>
      <c r="D1157" s="218"/>
      <c r="E1157" s="217" t="s">
        <v>574</v>
      </c>
      <c r="F1157" s="280" t="s">
        <v>519</v>
      </c>
      <c r="G1157" s="218"/>
      <c r="H1157" s="208" t="s">
        <v>520</v>
      </c>
      <c r="I1157" s="280"/>
      <c r="J1157" s="259"/>
      <c r="K1157" s="208"/>
      <c r="L1157" s="217"/>
      <c r="M1157" s="494"/>
      <c r="N1157" s="535"/>
      <c r="O1157" s="221"/>
      <c r="P1157" s="220"/>
      <c r="Q1157" s="381"/>
      <c r="R1157" s="222">
        <f>SUM(S1157,T1157,U1157,V1157)</f>
        <v>0</v>
      </c>
      <c r="S1157" s="222"/>
      <c r="T1157" s="222"/>
      <c r="U1157" s="222"/>
      <c r="V1157" s="222"/>
    </row>
    <row r="1158" spans="1:30" ht="15.6" outlineLevel="1" x14ac:dyDescent="0.3">
      <c r="A1158" s="345"/>
      <c r="B1158" s="353"/>
      <c r="C1158" s="217"/>
      <c r="D1158" s="218"/>
      <c r="E1158" s="217" t="s">
        <v>574</v>
      </c>
      <c r="F1158" s="280" t="s">
        <v>519</v>
      </c>
      <c r="G1158" s="218"/>
      <c r="H1158" s="208" t="s">
        <v>520</v>
      </c>
      <c r="I1158" s="280"/>
      <c r="J1158" s="259"/>
      <c r="K1158" s="208"/>
      <c r="L1158" s="217"/>
      <c r="M1158" s="494"/>
      <c r="N1158" s="535"/>
      <c r="O1158" s="221"/>
      <c r="P1158" s="220"/>
      <c r="Q1158" s="381"/>
      <c r="R1158" s="222">
        <f>SUM(S1158,T1158,U1158,V1158)</f>
        <v>0</v>
      </c>
      <c r="S1158" s="222"/>
      <c r="T1158" s="222"/>
      <c r="U1158" s="222"/>
      <c r="V1158" s="222"/>
    </row>
    <row r="1159" spans="1:30" ht="15.6" outlineLevel="1" x14ac:dyDescent="0.3">
      <c r="A1159" s="345"/>
      <c r="B1159" s="353"/>
      <c r="C1159" s="217"/>
      <c r="D1159" s="218"/>
      <c r="E1159" s="217" t="s">
        <v>574</v>
      </c>
      <c r="F1159" s="280" t="s">
        <v>519</v>
      </c>
      <c r="G1159" s="218"/>
      <c r="H1159" s="208" t="s">
        <v>520</v>
      </c>
      <c r="I1159" s="280"/>
      <c r="J1159" s="259"/>
      <c r="K1159" s="208"/>
      <c r="L1159" s="217"/>
      <c r="M1159" s="494"/>
      <c r="N1159" s="535"/>
      <c r="O1159" s="221"/>
      <c r="P1159" s="220"/>
      <c r="Q1159" s="381"/>
      <c r="R1159" s="222">
        <f>SUM(S1159,T1159,U1159,V1159)</f>
        <v>0</v>
      </c>
      <c r="S1159" s="222"/>
      <c r="T1159" s="222"/>
      <c r="U1159" s="222"/>
      <c r="V1159" s="222"/>
    </row>
    <row r="1160" spans="1:30" ht="15.6" outlineLevel="1" x14ac:dyDescent="0.3">
      <c r="A1160" s="345"/>
      <c r="B1160" s="353"/>
      <c r="C1160" s="217"/>
      <c r="D1160" s="218"/>
      <c r="E1160" s="217" t="s">
        <v>574</v>
      </c>
      <c r="F1160" s="280" t="s">
        <v>519</v>
      </c>
      <c r="G1160" s="218"/>
      <c r="H1160" s="208" t="s">
        <v>520</v>
      </c>
      <c r="I1160" s="280"/>
      <c r="J1160" s="259"/>
      <c r="K1160" s="208"/>
      <c r="L1160" s="217"/>
      <c r="M1160" s="494"/>
      <c r="N1160" s="535"/>
      <c r="O1160" s="221"/>
      <c r="P1160" s="220"/>
      <c r="Q1160" s="381"/>
      <c r="R1160" s="222">
        <f t="shared" si="51"/>
        <v>0</v>
      </c>
      <c r="S1160" s="222"/>
      <c r="T1160" s="222"/>
      <c r="U1160" s="222"/>
      <c r="V1160" s="222"/>
    </row>
    <row r="1161" spans="1:30" ht="15.6" outlineLevel="1" x14ac:dyDescent="0.3">
      <c r="A1161" s="345"/>
      <c r="B1161" s="353"/>
      <c r="C1161" s="217"/>
      <c r="D1161" s="218"/>
      <c r="E1161" s="217" t="s">
        <v>743</v>
      </c>
      <c r="F1161" s="280" t="s">
        <v>519</v>
      </c>
      <c r="G1161" s="218"/>
      <c r="H1161" s="208" t="s">
        <v>520</v>
      </c>
      <c r="I1161" s="280"/>
      <c r="J1161" s="259"/>
      <c r="K1161" s="208"/>
      <c r="L1161" s="217"/>
      <c r="M1161" s="494"/>
      <c r="N1161" s="535"/>
      <c r="O1161" s="221"/>
      <c r="P1161" s="220"/>
      <c r="Q1161" s="381"/>
      <c r="R1161" s="222">
        <f t="shared" si="51"/>
        <v>0</v>
      </c>
      <c r="S1161" s="222"/>
      <c r="T1161" s="222"/>
      <c r="U1161" s="222"/>
      <c r="V1161" s="222"/>
    </row>
    <row r="1162" spans="1:30" ht="15.6" outlineLevel="1" x14ac:dyDescent="0.3">
      <c r="A1162" s="330"/>
      <c r="B1162" s="353"/>
      <c r="C1162" s="241"/>
      <c r="D1162" s="218"/>
      <c r="E1162" s="217" t="s">
        <v>574</v>
      </c>
      <c r="F1162" s="217" t="s">
        <v>519</v>
      </c>
      <c r="G1162" s="218"/>
      <c r="H1162" s="208" t="s">
        <v>520</v>
      </c>
      <c r="I1162" s="241"/>
      <c r="J1162" s="241"/>
      <c r="K1162" s="250"/>
      <c r="L1162" s="241"/>
      <c r="M1162" s="499"/>
      <c r="N1162" s="518"/>
      <c r="O1162" s="296"/>
      <c r="P1162" s="297"/>
      <c r="Q1162" s="384"/>
      <c r="R1162" s="222">
        <f t="shared" ref="R1162:R1169" si="52">SUM(S1162,T1162,U1162,V1162)</f>
        <v>0</v>
      </c>
      <c r="S1162" s="347"/>
      <c r="T1162" s="347"/>
      <c r="U1162" s="347"/>
      <c r="V1162" s="347"/>
    </row>
    <row r="1163" spans="1:30" s="45" customFormat="1" ht="15.6" outlineLevel="1" x14ac:dyDescent="0.3">
      <c r="A1163" s="330"/>
      <c r="B1163" s="353"/>
      <c r="C1163" s="241"/>
      <c r="D1163" s="218"/>
      <c r="E1163" s="217" t="s">
        <v>574</v>
      </c>
      <c r="F1163" s="217" t="s">
        <v>519</v>
      </c>
      <c r="G1163" s="218"/>
      <c r="H1163" s="208" t="s">
        <v>520</v>
      </c>
      <c r="I1163" s="241"/>
      <c r="J1163" s="241"/>
      <c r="K1163" s="250"/>
      <c r="L1163" s="241"/>
      <c r="M1163" s="499"/>
      <c r="N1163" s="518"/>
      <c r="O1163" s="296"/>
      <c r="P1163" s="297"/>
      <c r="Q1163" s="384"/>
      <c r="R1163" s="222">
        <f t="shared" si="52"/>
        <v>0</v>
      </c>
      <c r="S1163" s="347"/>
      <c r="T1163" s="347"/>
      <c r="U1163" s="347"/>
      <c r="V1163" s="347"/>
      <c r="AC1163" s="414"/>
      <c r="AD1163" s="471"/>
    </row>
    <row r="1164" spans="1:30" ht="15.6" outlineLevel="1" x14ac:dyDescent="0.3">
      <c r="A1164" s="345"/>
      <c r="B1164" s="353"/>
      <c r="C1164" s="217"/>
      <c r="D1164" s="218"/>
      <c r="E1164" s="217" t="s">
        <v>574</v>
      </c>
      <c r="F1164" s="280" t="s">
        <v>519</v>
      </c>
      <c r="G1164" s="218"/>
      <c r="H1164" s="208" t="s">
        <v>520</v>
      </c>
      <c r="I1164" s="280"/>
      <c r="J1164" s="259"/>
      <c r="K1164" s="208"/>
      <c r="L1164" s="217"/>
      <c r="M1164" s="494"/>
      <c r="N1164" s="535"/>
      <c r="O1164" s="221"/>
      <c r="P1164" s="220"/>
      <c r="Q1164" s="381"/>
      <c r="R1164" s="222">
        <f t="shared" si="52"/>
        <v>0</v>
      </c>
      <c r="S1164" s="222"/>
      <c r="T1164" s="222"/>
      <c r="U1164" s="222"/>
      <c r="V1164" s="222"/>
    </row>
    <row r="1165" spans="1:30" ht="15.6" outlineLevel="1" x14ac:dyDescent="0.3">
      <c r="A1165" s="345"/>
      <c r="B1165" s="353"/>
      <c r="C1165" s="217"/>
      <c r="D1165" s="218"/>
      <c r="E1165" s="217" t="s">
        <v>574</v>
      </c>
      <c r="F1165" s="280" t="s">
        <v>519</v>
      </c>
      <c r="G1165" s="218"/>
      <c r="H1165" s="208" t="s">
        <v>520</v>
      </c>
      <c r="I1165" s="280"/>
      <c r="J1165" s="259"/>
      <c r="K1165" s="208"/>
      <c r="L1165" s="217"/>
      <c r="M1165" s="494"/>
      <c r="N1165" s="535"/>
      <c r="O1165" s="221"/>
      <c r="P1165" s="220"/>
      <c r="Q1165" s="381"/>
      <c r="R1165" s="222">
        <f t="shared" si="52"/>
        <v>0</v>
      </c>
      <c r="S1165" s="222"/>
      <c r="T1165" s="222"/>
      <c r="U1165" s="222"/>
      <c r="V1165" s="222"/>
    </row>
    <row r="1166" spans="1:30" ht="15.6" outlineLevel="1" x14ac:dyDescent="0.3">
      <c r="A1166" s="345"/>
      <c r="B1166" s="353"/>
      <c r="C1166" s="217"/>
      <c r="D1166" s="218"/>
      <c r="E1166" s="217" t="s">
        <v>574</v>
      </c>
      <c r="F1166" s="280" t="s">
        <v>519</v>
      </c>
      <c r="G1166" s="218"/>
      <c r="H1166" s="208" t="s">
        <v>520</v>
      </c>
      <c r="I1166" s="280"/>
      <c r="J1166" s="259"/>
      <c r="K1166" s="208"/>
      <c r="L1166" s="217"/>
      <c r="M1166" s="494"/>
      <c r="N1166" s="535"/>
      <c r="O1166" s="221"/>
      <c r="P1166" s="220"/>
      <c r="Q1166" s="381"/>
      <c r="R1166" s="222">
        <f t="shared" si="52"/>
        <v>0</v>
      </c>
      <c r="S1166" s="222"/>
      <c r="T1166" s="222"/>
      <c r="U1166" s="222"/>
      <c r="V1166" s="222"/>
    </row>
    <row r="1167" spans="1:30" ht="15.6" outlineLevel="1" x14ac:dyDescent="0.3">
      <c r="A1167" s="345"/>
      <c r="B1167" s="353"/>
      <c r="C1167" s="217"/>
      <c r="D1167" s="218"/>
      <c r="E1167" s="217" t="s">
        <v>574</v>
      </c>
      <c r="F1167" s="280" t="s">
        <v>519</v>
      </c>
      <c r="G1167" s="218"/>
      <c r="H1167" s="208" t="s">
        <v>520</v>
      </c>
      <c r="I1167" s="280"/>
      <c r="J1167" s="259"/>
      <c r="K1167" s="208"/>
      <c r="L1167" s="217"/>
      <c r="M1167" s="494"/>
      <c r="N1167" s="535"/>
      <c r="O1167" s="221"/>
      <c r="P1167" s="220"/>
      <c r="Q1167" s="381"/>
      <c r="R1167" s="222">
        <f t="shared" si="52"/>
        <v>0</v>
      </c>
      <c r="S1167" s="222"/>
      <c r="T1167" s="222"/>
      <c r="U1167" s="222"/>
      <c r="V1167" s="222"/>
    </row>
    <row r="1168" spans="1:30" ht="15.6" outlineLevel="1" x14ac:dyDescent="0.3">
      <c r="A1168" s="345"/>
      <c r="B1168" s="353"/>
      <c r="C1168" s="217"/>
      <c r="D1168" s="218"/>
      <c r="E1168" s="217" t="s">
        <v>574</v>
      </c>
      <c r="F1168" s="280" t="s">
        <v>519</v>
      </c>
      <c r="G1168" s="218"/>
      <c r="H1168" s="208" t="s">
        <v>520</v>
      </c>
      <c r="I1168" s="280"/>
      <c r="J1168" s="259"/>
      <c r="K1168" s="208"/>
      <c r="L1168" s="217"/>
      <c r="M1168" s="494"/>
      <c r="N1168" s="535"/>
      <c r="O1168" s="221"/>
      <c r="P1168" s="220"/>
      <c r="Q1168" s="381"/>
      <c r="R1168" s="222">
        <f t="shared" si="52"/>
        <v>0</v>
      </c>
      <c r="S1168" s="222"/>
      <c r="T1168" s="222"/>
      <c r="U1168" s="222"/>
      <c r="V1168" s="222"/>
    </row>
    <row r="1169" spans="1:32" s="45" customFormat="1" ht="16.2" x14ac:dyDescent="0.35">
      <c r="A1169" s="240" t="s">
        <v>783</v>
      </c>
      <c r="B1169" s="232"/>
      <c r="C1169" s="232"/>
      <c r="D1169" s="218"/>
      <c r="E1169" s="217" t="s">
        <v>574</v>
      </c>
      <c r="F1169" s="217" t="s">
        <v>519</v>
      </c>
      <c r="G1169" s="218"/>
      <c r="H1169" s="208" t="s">
        <v>520</v>
      </c>
      <c r="I1169" s="218"/>
      <c r="J1169" s="208" t="s">
        <v>520</v>
      </c>
      <c r="K1169" s="218"/>
      <c r="L1169" s="208" t="s">
        <v>520</v>
      </c>
      <c r="M1169" s="495"/>
      <c r="N1169" s="536"/>
      <c r="O1169" s="350">
        <v>244</v>
      </c>
      <c r="P1169" s="351">
        <v>341</v>
      </c>
      <c r="Q1169" s="575"/>
      <c r="R1169" s="229">
        <f t="shared" si="52"/>
        <v>0</v>
      </c>
      <c r="S1169" s="229"/>
      <c r="T1169" s="229"/>
      <c r="U1169" s="229"/>
      <c r="V1169" s="229"/>
      <c r="AC1169" s="414"/>
      <c r="AD1169" s="471"/>
    </row>
    <row r="1170" spans="1:32" ht="16.2" x14ac:dyDescent="0.35">
      <c r="A1170" s="344" t="s">
        <v>767</v>
      </c>
      <c r="B1170" s="356"/>
      <c r="C1170" s="356"/>
      <c r="D1170" s="259"/>
      <c r="E1170" s="217"/>
      <c r="F1170" s="280"/>
      <c r="G1170" s="259"/>
      <c r="H1170" s="208"/>
      <c r="I1170" s="260"/>
      <c r="J1170" s="258"/>
      <c r="K1170" s="356"/>
      <c r="L1170" s="356"/>
      <c r="M1170" s="515"/>
      <c r="N1170" s="543"/>
      <c r="O1170" s="420">
        <v>244</v>
      </c>
      <c r="P1170" s="421">
        <v>349</v>
      </c>
      <c r="Q1170" s="395"/>
      <c r="R1170" s="229">
        <f>SUM(R1171:R1174)</f>
        <v>0</v>
      </c>
      <c r="S1170" s="229">
        <f>SUM(S1171:S1174)</f>
        <v>0</v>
      </c>
      <c r="T1170" s="229">
        <f>SUM(T1171:T1174)</f>
        <v>0</v>
      </c>
      <c r="U1170" s="229">
        <f>SUM(U1171:U1174)</f>
        <v>0</v>
      </c>
      <c r="V1170" s="222">
        <f>SUM(V1171:V1174)</f>
        <v>0</v>
      </c>
    </row>
    <row r="1171" spans="1:32" ht="16.2" outlineLevel="1" x14ac:dyDescent="0.35">
      <c r="A1171" s="344"/>
      <c r="B1171" s="356"/>
      <c r="C1171" s="356"/>
      <c r="D1171" s="218"/>
      <c r="E1171" s="217" t="s">
        <v>574</v>
      </c>
      <c r="F1171" s="280" t="s">
        <v>519</v>
      </c>
      <c r="G1171" s="218"/>
      <c r="H1171" s="208" t="s">
        <v>520</v>
      </c>
      <c r="I1171" s="260"/>
      <c r="J1171" s="258"/>
      <c r="K1171" s="356"/>
      <c r="L1171" s="356"/>
      <c r="M1171" s="515"/>
      <c r="N1171" s="543"/>
      <c r="O1171" s="420"/>
      <c r="P1171" s="421"/>
      <c r="Q1171" s="395"/>
      <c r="R1171" s="222">
        <f>SUM(S1171,T1171,U1171,V1171)</f>
        <v>0</v>
      </c>
      <c r="S1171" s="222"/>
      <c r="T1171" s="222"/>
      <c r="U1171" s="222"/>
      <c r="V1171" s="222"/>
    </row>
    <row r="1172" spans="1:32" ht="16.2" outlineLevel="1" x14ac:dyDescent="0.35">
      <c r="A1172" s="344"/>
      <c r="B1172" s="356"/>
      <c r="C1172" s="356"/>
      <c r="D1172" s="218"/>
      <c r="E1172" s="217" t="s">
        <v>574</v>
      </c>
      <c r="F1172" s="280" t="s">
        <v>519</v>
      </c>
      <c r="G1172" s="218"/>
      <c r="H1172" s="208" t="s">
        <v>520</v>
      </c>
      <c r="I1172" s="260"/>
      <c r="J1172" s="258"/>
      <c r="K1172" s="356"/>
      <c r="L1172" s="356"/>
      <c r="M1172" s="515"/>
      <c r="N1172" s="543"/>
      <c r="O1172" s="420"/>
      <c r="P1172" s="421"/>
      <c r="Q1172" s="395"/>
      <c r="R1172" s="222">
        <f>SUM(S1172,T1172,U1172,V1172)</f>
        <v>0</v>
      </c>
      <c r="S1172" s="222"/>
      <c r="T1172" s="222"/>
      <c r="U1172" s="222"/>
      <c r="V1172" s="222"/>
    </row>
    <row r="1173" spans="1:32" ht="16.2" outlineLevel="1" x14ac:dyDescent="0.35">
      <c r="A1173" s="344"/>
      <c r="B1173" s="356"/>
      <c r="C1173" s="356"/>
      <c r="D1173" s="218"/>
      <c r="E1173" s="217" t="s">
        <v>574</v>
      </c>
      <c r="F1173" s="280" t="s">
        <v>519</v>
      </c>
      <c r="G1173" s="218"/>
      <c r="H1173" s="208" t="s">
        <v>520</v>
      </c>
      <c r="I1173" s="260"/>
      <c r="J1173" s="258"/>
      <c r="K1173" s="356"/>
      <c r="L1173" s="356"/>
      <c r="M1173" s="515"/>
      <c r="N1173" s="543"/>
      <c r="O1173" s="420"/>
      <c r="P1173" s="421"/>
      <c r="Q1173" s="395"/>
      <c r="R1173" s="222">
        <f>SUM(S1173,T1173,U1173,V1173)</f>
        <v>0</v>
      </c>
      <c r="S1173" s="222"/>
      <c r="T1173" s="222"/>
      <c r="U1173" s="222"/>
      <c r="V1173" s="222"/>
    </row>
    <row r="1174" spans="1:32" ht="16.2" outlineLevel="1" x14ac:dyDescent="0.35">
      <c r="A1174" s="343"/>
      <c r="B1174" s="356"/>
      <c r="C1174" s="356"/>
      <c r="D1174" s="218"/>
      <c r="E1174" s="217" t="s">
        <v>574</v>
      </c>
      <c r="F1174" s="280" t="s">
        <v>519</v>
      </c>
      <c r="G1174" s="218"/>
      <c r="H1174" s="208" t="s">
        <v>520</v>
      </c>
      <c r="I1174" s="260"/>
      <c r="J1174" s="258"/>
      <c r="K1174" s="356"/>
      <c r="L1174" s="356"/>
      <c r="M1174" s="515"/>
      <c r="N1174" s="544"/>
      <c r="O1174" s="421"/>
      <c r="P1174" s="421"/>
      <c r="Q1174" s="423"/>
      <c r="R1174" s="222">
        <f>SUM(S1174,T1174,U1174,V1174)</f>
        <v>0</v>
      </c>
      <c r="S1174" s="222"/>
      <c r="T1174" s="222"/>
      <c r="U1174" s="222"/>
      <c r="V1174" s="222"/>
    </row>
    <row r="1175" spans="1:32" s="45" customFormat="1" ht="15.75" customHeight="1" x14ac:dyDescent="0.35">
      <c r="A1175" s="241" t="s">
        <v>732</v>
      </c>
      <c r="B1175" s="422"/>
      <c r="C1175" s="422"/>
      <c r="D1175" s="259"/>
      <c r="E1175" s="217"/>
      <c r="F1175" s="280"/>
      <c r="G1175" s="259"/>
      <c r="H1175" s="208"/>
      <c r="I1175" s="260"/>
      <c r="J1175" s="258"/>
      <c r="K1175" s="422"/>
      <c r="L1175" s="422"/>
      <c r="M1175" s="516"/>
      <c r="N1175" s="545"/>
      <c r="O1175" s="421">
        <v>244</v>
      </c>
      <c r="P1175" s="421">
        <v>349</v>
      </c>
      <c r="Q1175" s="424"/>
      <c r="R1175" s="229">
        <f>SUM(R1176:R1179)</f>
        <v>0</v>
      </c>
      <c r="S1175" s="229">
        <f>SUM(S1176:S1179)</f>
        <v>0</v>
      </c>
      <c r="T1175" s="229">
        <f>SUM(T1176:T1179)</f>
        <v>0</v>
      </c>
      <c r="U1175" s="229">
        <f>SUM(U1176:U1179)</f>
        <v>0</v>
      </c>
      <c r="V1175" s="229">
        <f>SUM(V1176:V1179)</f>
        <v>0</v>
      </c>
      <c r="AC1175" s="414"/>
      <c r="AD1175" s="471"/>
    </row>
    <row r="1176" spans="1:32" s="45" customFormat="1" ht="15.75" customHeight="1" outlineLevel="1" x14ac:dyDescent="0.35">
      <c r="A1176" s="241"/>
      <c r="B1176" s="422"/>
      <c r="C1176" s="422"/>
      <c r="D1176" s="218"/>
      <c r="E1176" s="217" t="s">
        <v>574</v>
      </c>
      <c r="F1176" s="280" t="s">
        <v>519</v>
      </c>
      <c r="G1176" s="218"/>
      <c r="H1176" s="208" t="s">
        <v>520</v>
      </c>
      <c r="I1176" s="260"/>
      <c r="J1176" s="258"/>
      <c r="K1176" s="422"/>
      <c r="L1176" s="422"/>
      <c r="M1176" s="516"/>
      <c r="N1176" s="545"/>
      <c r="O1176" s="421"/>
      <c r="P1176" s="421"/>
      <c r="Q1176" s="424"/>
      <c r="R1176" s="222">
        <f>SUM(S1176,T1176,U1176,V1176)</f>
        <v>0</v>
      </c>
      <c r="S1176" s="222"/>
      <c r="T1176" s="222"/>
      <c r="U1176" s="222"/>
      <c r="V1176" s="222"/>
      <c r="AC1176" s="414"/>
      <c r="AD1176" s="471"/>
    </row>
    <row r="1177" spans="1:32" s="45" customFormat="1" ht="15.75" customHeight="1" outlineLevel="1" x14ac:dyDescent="0.35">
      <c r="A1177" s="241"/>
      <c r="B1177" s="422"/>
      <c r="C1177" s="422"/>
      <c r="D1177" s="218"/>
      <c r="E1177" s="217" t="s">
        <v>574</v>
      </c>
      <c r="F1177" s="280" t="s">
        <v>519</v>
      </c>
      <c r="G1177" s="218"/>
      <c r="H1177" s="208" t="s">
        <v>520</v>
      </c>
      <c r="I1177" s="260"/>
      <c r="J1177" s="258"/>
      <c r="K1177" s="422"/>
      <c r="L1177" s="422"/>
      <c r="M1177" s="516"/>
      <c r="N1177" s="545"/>
      <c r="O1177" s="421"/>
      <c r="P1177" s="421"/>
      <c r="Q1177" s="424"/>
      <c r="R1177" s="222">
        <f>SUM(S1177,T1177,U1177,V1177)</f>
        <v>0</v>
      </c>
      <c r="S1177" s="222"/>
      <c r="T1177" s="222"/>
      <c r="U1177" s="222"/>
      <c r="V1177" s="222"/>
      <c r="AC1177" s="414"/>
      <c r="AD1177" s="471"/>
    </row>
    <row r="1178" spans="1:32" s="45" customFormat="1" ht="15.75" customHeight="1" outlineLevel="1" x14ac:dyDescent="0.35">
      <c r="A1178" s="241"/>
      <c r="B1178" s="422"/>
      <c r="C1178" s="422"/>
      <c r="D1178" s="218"/>
      <c r="E1178" s="217" t="s">
        <v>574</v>
      </c>
      <c r="F1178" s="280" t="s">
        <v>519</v>
      </c>
      <c r="G1178" s="218"/>
      <c r="H1178" s="208" t="s">
        <v>520</v>
      </c>
      <c r="I1178" s="260"/>
      <c r="J1178" s="258"/>
      <c r="K1178" s="422"/>
      <c r="L1178" s="422"/>
      <c r="M1178" s="516"/>
      <c r="N1178" s="545"/>
      <c r="O1178" s="421"/>
      <c r="P1178" s="421"/>
      <c r="Q1178" s="424"/>
      <c r="R1178" s="222">
        <f>SUM(S1178,T1178,U1178,V1178)</f>
        <v>0</v>
      </c>
      <c r="S1178" s="222"/>
      <c r="T1178" s="222"/>
      <c r="U1178" s="222"/>
      <c r="V1178" s="222"/>
      <c r="AC1178" s="414"/>
      <c r="AD1178" s="471"/>
    </row>
    <row r="1179" spans="1:32" s="45" customFormat="1" ht="16.2" outlineLevel="1" x14ac:dyDescent="0.35">
      <c r="A1179" s="242"/>
      <c r="B1179" s="357"/>
      <c r="C1179" s="357"/>
      <c r="D1179" s="218"/>
      <c r="E1179" s="217" t="s">
        <v>574</v>
      </c>
      <c r="F1179" s="280" t="s">
        <v>519</v>
      </c>
      <c r="G1179" s="218"/>
      <c r="H1179" s="208" t="s">
        <v>520</v>
      </c>
      <c r="I1179" s="359"/>
      <c r="J1179" s="358"/>
      <c r="K1179" s="357"/>
      <c r="L1179" s="357"/>
      <c r="M1179" s="517"/>
      <c r="N1179" s="546"/>
      <c r="O1179" s="360"/>
      <c r="P1179" s="361"/>
      <c r="Q1179" s="424"/>
      <c r="R1179" s="222">
        <f>SUM(S1179,T1179,U1179,V1179)</f>
        <v>0</v>
      </c>
      <c r="S1179" s="222"/>
      <c r="T1179" s="222"/>
      <c r="U1179" s="222"/>
      <c r="V1179" s="222"/>
      <c r="AC1179" s="414"/>
      <c r="AD1179" s="471"/>
    </row>
    <row r="1180" spans="1:32" s="45" customFormat="1" x14ac:dyDescent="0.25">
      <c r="A1180" s="362"/>
      <c r="B1180" s="362"/>
      <c r="C1180" s="362"/>
      <c r="D1180" s="362"/>
      <c r="E1180" s="124"/>
      <c r="F1180" s="124"/>
      <c r="G1180" s="124"/>
      <c r="H1180" s="362"/>
      <c r="I1180" s="362"/>
      <c r="J1180" s="362"/>
      <c r="K1180" s="362"/>
      <c r="L1180" s="362"/>
      <c r="M1180" s="362"/>
      <c r="N1180" s="362"/>
      <c r="O1180" s="363"/>
      <c r="P1180" s="363"/>
      <c r="Q1180" s="363"/>
      <c r="R1180" s="364"/>
      <c r="S1180" s="365"/>
      <c r="T1180" s="365"/>
      <c r="U1180" s="365"/>
      <c r="V1180" s="365"/>
      <c r="AC1180" s="414"/>
      <c r="AD1180" s="471"/>
    </row>
    <row r="1181" spans="1:32" x14ac:dyDescent="0.25">
      <c r="A1181" s="108"/>
      <c r="B1181" s="108"/>
      <c r="C1181" s="108"/>
      <c r="D1181" s="108"/>
      <c r="E1181" s="366"/>
      <c r="F1181" s="366"/>
      <c r="G1181" s="366"/>
      <c r="H1181" s="367"/>
      <c r="I1181" s="367"/>
      <c r="J1181" s="367"/>
      <c r="K1181" s="367"/>
      <c r="L1181" s="368"/>
      <c r="M1181" s="368"/>
      <c r="N1181" s="368"/>
      <c r="O1181" s="369"/>
      <c r="P1181" s="369"/>
      <c r="Q1181" s="396"/>
      <c r="R1181" s="370"/>
      <c r="S1181" s="371"/>
      <c r="T1181" s="371"/>
      <c r="U1181" s="371"/>
      <c r="V1181" s="371"/>
    </row>
    <row r="1182" spans="1:32" s="108" customFormat="1" ht="15.6" x14ac:dyDescent="0.3">
      <c r="E1182" s="366"/>
      <c r="F1182" s="366"/>
      <c r="G1182" s="366"/>
      <c r="H1182" s="367"/>
      <c r="I1182" s="367"/>
      <c r="J1182" s="367"/>
      <c r="K1182" s="367"/>
      <c r="L1182" s="450" t="s">
        <v>679</v>
      </c>
      <c r="M1182" s="450"/>
      <c r="N1182" s="450"/>
      <c r="O1182" s="555" t="s">
        <v>250</v>
      </c>
      <c r="P1182" s="555"/>
      <c r="Q1182" s="552"/>
      <c r="R1182" s="556">
        <f>R12-R13-R15-R16-R17-R18-R14</f>
        <v>0</v>
      </c>
      <c r="S1182" s="556">
        <f>S12-S13-S15-S16-S17-S18-S14</f>
        <v>0</v>
      </c>
      <c r="T1182" s="556">
        <f>T12-T13-T15-T16-T17-T18-T14</f>
        <v>0</v>
      </c>
      <c r="U1182" s="556">
        <f>U12-U13-U15-U16-U17-U18-U14</f>
        <v>0</v>
      </c>
      <c r="V1182" s="556">
        <f>V12-V13-V15-V16-V17-V18-V14</f>
        <v>0</v>
      </c>
      <c r="W1182" s="554"/>
      <c r="X1182" s="554"/>
      <c r="Y1182" s="554"/>
      <c r="Z1182" s="554"/>
      <c r="AA1182" s="554"/>
      <c r="AB1182" s="554"/>
      <c r="AC1182" s="471"/>
      <c r="AD1182" s="471"/>
      <c r="AE1182" s="554"/>
      <c r="AF1182" s="554"/>
    </row>
    <row r="1183" spans="1:32" s="108" customFormat="1" ht="15.6" x14ac:dyDescent="0.3">
      <c r="A1183" s="49"/>
      <c r="B1183" s="49"/>
      <c r="C1183" s="49"/>
      <c r="D1183" s="49"/>
      <c r="E1183" s="124"/>
      <c r="F1183" s="124"/>
      <c r="G1183" s="124"/>
      <c r="H1183" s="362"/>
      <c r="I1183" s="362"/>
      <c r="J1183" s="362"/>
      <c r="K1183" s="362"/>
      <c r="L1183" s="451"/>
      <c r="M1183" s="451"/>
      <c r="N1183" s="451"/>
      <c r="O1183" s="552" t="s">
        <v>680</v>
      </c>
      <c r="P1183" s="552"/>
      <c r="Q1183" s="552"/>
      <c r="R1183" s="553">
        <f>R19-R20-R21</f>
        <v>0</v>
      </c>
      <c r="S1183" s="553">
        <f>S19-S20-S21</f>
        <v>0</v>
      </c>
      <c r="T1183" s="553">
        <f>T19-T20-T21</f>
        <v>0</v>
      </c>
      <c r="U1183" s="553">
        <f>U19-U20-U21</f>
        <v>0</v>
      </c>
      <c r="V1183" s="553">
        <f>V19-V20-V21</f>
        <v>0</v>
      </c>
      <c r="W1183" s="554"/>
      <c r="X1183" s="554"/>
      <c r="Y1183" s="554"/>
      <c r="Z1183" s="554"/>
      <c r="AA1183" s="554"/>
      <c r="AB1183" s="554"/>
      <c r="AC1183" s="471"/>
      <c r="AD1183" s="471"/>
      <c r="AE1183" s="554"/>
      <c r="AF1183" s="554"/>
    </row>
    <row r="1184" spans="1:32" ht="15.6" x14ac:dyDescent="0.3">
      <c r="E1184" s="124"/>
      <c r="F1184" s="124"/>
      <c r="G1184" s="124"/>
      <c r="H1184" s="362"/>
      <c r="I1184" s="362"/>
      <c r="J1184" s="362"/>
      <c r="K1184" s="362"/>
      <c r="L1184" s="451"/>
      <c r="M1184" s="451"/>
      <c r="N1184" s="451"/>
      <c r="O1184" s="552" t="s">
        <v>302</v>
      </c>
      <c r="P1184" s="552"/>
      <c r="Q1184" s="552"/>
      <c r="R1184" s="553">
        <f>R25-R26-R27-R28-R29</f>
        <v>0</v>
      </c>
      <c r="S1184" s="553">
        <f>S25-S26-S27-S28-S29</f>
        <v>0</v>
      </c>
      <c r="T1184" s="553">
        <f>T25-T26-T27-T28-T29</f>
        <v>0</v>
      </c>
      <c r="U1184" s="553">
        <f>U25-U26-U27-U28-U29</f>
        <v>0</v>
      </c>
      <c r="V1184" s="553">
        <f>V25-V26-V27-V28-V29</f>
        <v>0</v>
      </c>
      <c r="W1184" s="433"/>
      <c r="X1184" s="433"/>
      <c r="Y1184" s="433"/>
      <c r="Z1184" s="433"/>
      <c r="AA1184" s="433"/>
      <c r="AB1184" s="433"/>
      <c r="AC1184" s="471"/>
      <c r="AE1184" s="433"/>
      <c r="AF1184" s="433"/>
    </row>
    <row r="1185" spans="5:32" ht="15.6" x14ac:dyDescent="0.3">
      <c r="E1185" s="124"/>
      <c r="F1185" s="124"/>
      <c r="G1185" s="124"/>
      <c r="H1185" s="362"/>
      <c r="I1185" s="362"/>
      <c r="J1185" s="362"/>
      <c r="K1185" s="362"/>
      <c r="L1185" s="451"/>
      <c r="M1185" s="451"/>
      <c r="N1185" s="451"/>
      <c r="O1185" s="552" t="s">
        <v>312</v>
      </c>
      <c r="P1185" s="552"/>
      <c r="Q1185" s="552"/>
      <c r="R1185" s="553">
        <f>R30-R32-R33-R36-R38-R40</f>
        <v>0</v>
      </c>
      <c r="S1185" s="553">
        <f>S30-S32-S33-S36-S38-S40</f>
        <v>0</v>
      </c>
      <c r="T1185" s="553">
        <f>T30-T32-T33-T36-T38-T40</f>
        <v>0</v>
      </c>
      <c r="U1185" s="553">
        <f>U30-U32-U33-U36-U38-U40</f>
        <v>0</v>
      </c>
      <c r="V1185" s="553">
        <f>V30-V32-V33-V36-V38-V40</f>
        <v>0</v>
      </c>
      <c r="W1185" s="433"/>
      <c r="X1185" s="433"/>
      <c r="Y1185" s="433"/>
      <c r="Z1185" s="433"/>
      <c r="AA1185" s="433"/>
      <c r="AB1185" s="433"/>
      <c r="AC1185" s="471"/>
      <c r="AE1185" s="433"/>
      <c r="AF1185" s="433"/>
    </row>
    <row r="1186" spans="5:32" ht="15.6" x14ac:dyDescent="0.3">
      <c r="E1186" s="124"/>
      <c r="F1186" s="124"/>
      <c r="G1186" s="124"/>
      <c r="H1186" s="362"/>
      <c r="I1186" s="362"/>
      <c r="J1186" s="362"/>
      <c r="K1186" s="362"/>
      <c r="L1186" s="451"/>
      <c r="M1186" s="451"/>
      <c r="N1186" s="451"/>
      <c r="O1186" s="552" t="s">
        <v>306</v>
      </c>
      <c r="P1186" s="552"/>
      <c r="Q1186" s="552"/>
      <c r="R1186" s="553">
        <f>R41-R42-R43-R44-R45-R46</f>
        <v>0</v>
      </c>
      <c r="S1186" s="553">
        <f>S41-S42-S43-S44-S45-S46</f>
        <v>0</v>
      </c>
      <c r="T1186" s="553">
        <f>T41-T42-T43-T44-T45-T46</f>
        <v>0</v>
      </c>
      <c r="U1186" s="553">
        <f>U41-U42-U43-U44-U45-U46</f>
        <v>0</v>
      </c>
      <c r="V1186" s="553">
        <f>V41-V42-V43-V44-V45-V46</f>
        <v>0</v>
      </c>
      <c r="W1186" s="433"/>
      <c r="X1186" s="433"/>
      <c r="Y1186" s="433"/>
      <c r="Z1186" s="433"/>
      <c r="AA1186" s="433"/>
      <c r="AB1186" s="433"/>
      <c r="AC1186" s="471"/>
      <c r="AE1186" s="433"/>
      <c r="AF1186" s="433"/>
    </row>
    <row r="1187" spans="5:32" ht="15.6" x14ac:dyDescent="0.3">
      <c r="E1187" s="124"/>
      <c r="F1187" s="124"/>
      <c r="G1187" s="124"/>
      <c r="H1187" s="362"/>
      <c r="I1187" s="362"/>
      <c r="J1187" s="362"/>
      <c r="K1187" s="362"/>
      <c r="L1187" s="451"/>
      <c r="M1187" s="451"/>
      <c r="N1187" s="451"/>
      <c r="O1187" s="552" t="s">
        <v>259</v>
      </c>
      <c r="P1187" s="552"/>
      <c r="Q1187" s="552"/>
      <c r="R1187" s="553">
        <f>R92-SUM(R95:R97,R99:R100,R102:R104,R106:R107,R109:R110,R112:R113,R115:R116,R119:R121,R123:R124,R126,R131:R132,R135,R136,R160:R163,R165:R168,R170:R173,R175:R178,R181:R183,R184,R186:R189,R191:R194,R196:R199,R224:R226,R228:R230,R233:R235,R237:R238,R241:R243,R245:R247,R250:R253,R257:R259,R261:R263,R265:R267,R269:R271,R274:R276,R278:R280,R283:R285,R287:R289,R292:R294,R297:R298,R300:R301,R303:R304,R306:R307,R309,R311:R313,R315:R317,R320:R321,R323:R325,R327:R328,R330,R332,R334,R336:R340,R342,R344,R346,R348,R350:R358,R142:R144,R360,R362:R366,R368:R369,R371:R373,R375,R377:R378,R381:R382,R384,R386,R388,R390:R403,R405:R407,R408,R410:R411,R413:R416,R420,R421,R422,R425:R427,R430,R432,R434,R436:R438,R440:R443,R445:R447,R450:R454,R456:R460,R462:R467,R469,R493,R471,R473:R474,R476:R477,R479:R487,R488,R489,R490,R491,R496:R522,R524:R543,R545:R567,R570:R573,R575:R591,R592,R593,R619:R653,R655,R658,R661,R664,R667,R671:R674,R676:R679,R682:R704,R707:R852,R854:R857,R859:R913,R915:R949,R951:R1037,R1039:R1083,R1085:R1168,R1169,R1171:R1174,R1176:R1179,R428,R146:R148,R150:R152,R154:R156,R202:R205,R207:R210,R212:R215,R217:R220,R417:R419,R127,R128,R129,R138,R139,R595:R617,)</f>
        <v>0</v>
      </c>
      <c r="S1187" s="553">
        <f>S92-SUM(S95:S97,S99:S100,S102:S104,S106:S107,S109:S110,S112:S113,S115:S116,S119:S121,S123:S124,S126,S131:S132,S135,S136,S160:S163,S165:S168,S170:S173,S175:S178,S181:S183,S184,S186:S189,S191:S194,S196:S199,S224:S226,S228:S230,S233:S235,S237:S238,S241:S243,S245:S247,S250:S253,S257:S259,S261:S263,S265:S267,S269:S271,S274:S276,S278:S280,S283:S285,S287:S289,S292:S294,S297:S298,S300:S301,S303:S304,S306:S307,S309,S311:S313,S315:S317,S320:S321,S323:S325,S327:S328,S330,S332,S334,S336:S340,S342,S344,S346,S348,S350:S358,S142:S144,S360,S362:S366,S368:S369,S371:S373,S375,S377:S378,S381:S382,S384,S386,S388,S390:S403,S405:S407,S408,S410:S411,S413:S416,S420,S421,S422,S425:S427,S430,S432,S434,S436:S438,S440:S443,S445:S447,S450:S454,S456:S460,S462:S467,S469,S493,S471,S473:S474,S476:S477,S479:S487,S488,S489,S490,S491,S496:S522,S524:S543,S545:S567,S570:S573,S575:S591,S592,S593,S619:S653,S655,S658,S661,S664,S667,S671:S674,S676:S679,S682:S704,S707:S852,S854:S857,S859:S913,S915:S949,S951:S1037,S1039:S1083,S1085:S1168,S1169,S1171:S1174,S1176:S1179,S428,S146:S148,S150:S152,S154:S156,S202:S205,S207:S210,S212:S215,S217:S220,S417:S419,S127,S128,S129,S138,S139,S595:S617,)</f>
        <v>0</v>
      </c>
      <c r="T1187" s="553">
        <f>T92-SUM(T95:T97,T99:T100,T102:T104,T106:T107,T109:T110,T112:T113,T115:T116,T119:T121,T123:T124,T126,T131:T132,T135,T136,T160:T163,T165:T168,T170:T173,T175:T178,T181:T183,T184,T186:T189,T191:T194,T196:T199,T224:T226,T228:T230,T233:T235,T237:T238,T241:T243,T245:T247,T250:T253,T257:T259,T261:T263,T265:T267,T269:T271,T274:T276,T278:T280,T283:T285,T287:T289,T292:T294,T297:T298,T300:T301,T303:T304,T306:T307,T309,T311:T313,T315:T317,T320:T321,T323:T325,T327:T328,T330,T332,T334,T336:T340,T342,T344,T346,T348,T350:T358,T142:T144,T360,T362:T366,T368:T369,T371:T373,T375,T377:T378,T381:T382,T384,T386,T388,T390:T403,T405:T407,T408,T410:T411,T413:T416,T420,T421,T422,T425:T427,T430,T432,T434,T436:T438,T440:T443,T445:T447,T450:T454,T456:T460,T462:T467,T469,T493,T471,T473:T474,T476:T477,T479:T487,T488,T489,T490,T491,T496:T522,T524:T543,T545:T567,T570:T573,T575:T591,T592,T593,T619:T653,T655,T658,T661,T664,T667,T671:T674,T676:T679,T682:T704,T707:T852,T854:T857,T859:T913,T915:T949,T951:T1037,T1039:T1083,T1085:T1168,T1169,T1171:T1174,T1176:T1179,T428,T146:T148,T150:T152,T154:T156,T202:T205,T207:T210,T212:T215,T217:T220,T417:T419,T127,T128,T129,T138,T139,T595:T617,)</f>
        <v>0</v>
      </c>
      <c r="U1187" s="553">
        <f>U92-SUM(U95:U97,U99:U100,U102:U104,U106:U107,U109:U110,U112:U113,U115:U116,U119:U121,U123:U124,U126,U131:U132,U135,U136,U160:U163,U165:U168,U170:U173,U175:U178,U181:U183,U184,U186:U189,U191:U194,U196:U199,U224:U226,U228:U230,U233:U235,U237:U238,U241:U243,U245:U247,U250:U253,U257:U259,U261:U263,U265:U267,U269:U271,U274:U276,U278:U280,U283:U285,U287:U289,U292:U294,U297:U298,U300:U301,U303:U304,U306:U307,U309,U311:U313,U315:U317,U320:U321,U323:U325,U327:U328,U330,U332,U334,U336:U340,U342,U344,U346,U348,U350:U358,U142:U144,U360,U362:U366,U368:U369,U371:U373,U375,U377:U378,U381:U382,U384,U386,U388,U390:U403,U405:U407,U408,U410:U411,U413:U416,U420,U421,U422,U425:U427,U430,U432,U434,U436:U438,U440:U443,U445:U447,U450:U454,U456:U460,U462:U467,U469,U493,U471,U473:U474,U476:U477,U479:U487,U488,U489,U490,U491,U496:U522,U524:U543,U545:U567,U570:U573,U575:U591,U592,U593,U619:U653,U655,U658,U661,U664,U667,U671:U674,U676:U679,U682:U704,U707:U852,U854:U857,U859:U913,U915:U949,U951:U1037,U1039:U1083,U1085:U1168,U1169,U1171:U1174,U1176:U1179,U428,U146:U148,U150:U152,U154:U156,U202:U205,U207:U210,U212:U215,U217:U220,U417:U419,U127,U128,U129,U138,U139,U595:U617,)</f>
        <v>0</v>
      </c>
      <c r="V1187" s="553">
        <f>V92-SUM(V95:V97,V99:V100,V102:V104,V106:V107,V109:V110,V112:V113,V115:V116,V119:V121,V123:V124,V126,V131:V132,V135,V136,V160:V163,V165:V168,V170:V173,V175:V178,V181:V183,V184,V186:V189,V191:V194,V196:V199,V224:V226,V228:V230,V233:V235,V237:V238,V241:V243,V245:V247,V250:V253,V257:V259,V261:V263,V265:V267,V269:V271,V274:V276,V278:V280,V283:V285,V287:V289,V292:V294,V297:V298,V300:V301,V303:V304,V306:V307,V309,V311:V313,V315:V317,V320:V321,V323:V325,V327:V328,V330,V332,V334,V336:V340,V342,V344,V346,V348,V350:V358,V142:V144,V360,V362:V366,V368:V369,V371:V373,V375,V377:V378,V381:V382,V384,V386,V388,V390:V403,V405:V407,V408,V410:V411,V413:V416,V420,V421,V422,V425:V427,V430,V432,V434,V436:V438,V440:V443,V445:V447,V450:V454,V456:V460,V462:V467,V469,V493,V471,V473:V474,V476:V477,V479:V487,V488,V489,V490,V491,V496:V522,V524:V543,V545:V567,V570:V573,V575:V591,V592,V593,V619:V653,V655,V658,V661,V664,V667,V671:V674,V676:V679,V682:V704,V707:V852,V854:V857,V859:V913,V915:V949,V951:V1037,V1039:V1083,V1085:V1168,V1169,V1171:V1174,V1176:V1179,V428,V146:V148,V150:V152,V154:V156,V202:V205,V207:V210,V212:V215,V217:V220,V417:V419,V127,V128,V129,V138,V139,V595:V617,)</f>
        <v>0</v>
      </c>
      <c r="W1187" s="433"/>
      <c r="X1187" s="433"/>
      <c r="Y1187" s="433"/>
      <c r="Z1187" s="433"/>
      <c r="AA1187" s="433"/>
      <c r="AB1187" s="433"/>
      <c r="AC1187" s="471"/>
      <c r="AE1187" s="433"/>
      <c r="AF1187" s="433"/>
    </row>
    <row r="1188" spans="5:32" ht="15.6" x14ac:dyDescent="0.3">
      <c r="E1188" s="124"/>
      <c r="F1188" s="124"/>
      <c r="G1188" s="124"/>
      <c r="H1188" s="362"/>
      <c r="I1188" s="362"/>
      <c r="J1188" s="362"/>
      <c r="K1188" s="362"/>
      <c r="L1188" s="452"/>
      <c r="M1188" s="452"/>
      <c r="N1188" s="452"/>
      <c r="O1188" s="453"/>
      <c r="P1188" s="453"/>
      <c r="Q1188" s="453"/>
      <c r="R1188" s="454"/>
      <c r="S1188" s="454"/>
      <c r="T1188" s="454"/>
      <c r="U1188" s="454"/>
      <c r="V1188" s="454"/>
    </row>
    <row r="1189" spans="5:32" ht="15.6" x14ac:dyDescent="0.3">
      <c r="L1189" s="189"/>
      <c r="M1189" s="189"/>
      <c r="N1189" s="189"/>
      <c r="O1189" s="455" t="s">
        <v>746</v>
      </c>
      <c r="P1189" s="455"/>
      <c r="Q1189" s="455"/>
      <c r="R1189" s="456"/>
      <c r="S1189" s="456"/>
      <c r="T1189" s="456"/>
      <c r="U1189" s="456"/>
      <c r="V1189" s="456"/>
    </row>
    <row r="1190" spans="5:32" ht="15.6" x14ac:dyDescent="0.3">
      <c r="L1190" s="189"/>
      <c r="M1190" s="189"/>
      <c r="N1190" s="189"/>
      <c r="O1190" s="457">
        <v>244</v>
      </c>
      <c r="P1190" s="457"/>
      <c r="Q1190" s="455"/>
      <c r="R1190" s="456">
        <f>SUBTOTAL(9,R92)</f>
        <v>0</v>
      </c>
      <c r="S1190" s="456">
        <f>SUBTOTAL(9,S92)</f>
        <v>0</v>
      </c>
      <c r="T1190" s="456">
        <f>SUBTOTAL(9,T92)</f>
        <v>0</v>
      </c>
      <c r="U1190" s="456">
        <f>SUBTOTAL(9,U92)</f>
        <v>0</v>
      </c>
      <c r="V1190" s="456">
        <f>SUBTOTAL(9,V92)</f>
        <v>0</v>
      </c>
      <c r="W1190" s="380">
        <f>R1190-S1190-T1190-U1190-V1190</f>
        <v>0</v>
      </c>
      <c r="X1190" s="56"/>
      <c r="Y1190" s="56"/>
      <c r="Z1190" s="56"/>
      <c r="AA1190" s="56"/>
      <c r="AB1190" s="56"/>
      <c r="AE1190" s="56"/>
      <c r="AF1190" s="56"/>
    </row>
    <row r="1191" spans="5:32" ht="15.6" x14ac:dyDescent="0.3">
      <c r="L1191" s="189"/>
      <c r="M1191" s="189"/>
      <c r="N1191" s="189"/>
      <c r="O1191" s="457"/>
      <c r="P1191" s="457">
        <v>220</v>
      </c>
      <c r="Q1191" s="455"/>
      <c r="R1191" s="456">
        <f>R1190-R1192-R1193</f>
        <v>0</v>
      </c>
      <c r="S1191" s="456">
        <f>S1190-S1192-S1193</f>
        <v>0</v>
      </c>
      <c r="T1191" s="456">
        <f>T1190-T1192-T1193</f>
        <v>0</v>
      </c>
      <c r="U1191" s="456">
        <f>U1190-U1192-U1193</f>
        <v>0</v>
      </c>
      <c r="V1191" s="456">
        <f>V1190-V1192-V1193</f>
        <v>0</v>
      </c>
      <c r="W1191" s="380">
        <f t="shared" ref="W1191:W1199" si="53">R1191-S1191-T1191-U1191-V1191</f>
        <v>0</v>
      </c>
      <c r="X1191" s="56"/>
      <c r="Y1191" s="56"/>
      <c r="Z1191" s="56"/>
      <c r="AA1191" s="56"/>
      <c r="AB1191" s="56"/>
      <c r="AE1191" s="56"/>
      <c r="AF1191" s="56"/>
    </row>
    <row r="1192" spans="5:32" ht="15.6" x14ac:dyDescent="0.3">
      <c r="L1192" s="189"/>
      <c r="M1192" s="189"/>
      <c r="N1192" s="189"/>
      <c r="O1192" s="457"/>
      <c r="P1192" s="457">
        <v>310</v>
      </c>
      <c r="Q1192" s="455"/>
      <c r="R1192" s="456">
        <f>SUBTOTAL(9,R494,R568)</f>
        <v>0</v>
      </c>
      <c r="S1192" s="456">
        <f>SUBTOTAL(9,S494,S568)</f>
        <v>0</v>
      </c>
      <c r="T1192" s="456">
        <f>SUBTOTAL(9,T494,T568)</f>
        <v>0</v>
      </c>
      <c r="U1192" s="456">
        <f>SUBTOTAL(9,U494,U568)</f>
        <v>0</v>
      </c>
      <c r="V1192" s="456">
        <f>SUBTOTAL(9,V494,V568)</f>
        <v>0</v>
      </c>
      <c r="W1192" s="380">
        <f t="shared" si="53"/>
        <v>0</v>
      </c>
      <c r="X1192" s="56"/>
      <c r="Y1192" s="56"/>
      <c r="Z1192" s="56"/>
      <c r="AA1192" s="56"/>
      <c r="AB1192" s="56"/>
      <c r="AE1192" s="56"/>
      <c r="AF1192" s="56"/>
    </row>
    <row r="1193" spans="5:32" ht="15.6" x14ac:dyDescent="0.3">
      <c r="L1193" s="189"/>
      <c r="M1193" s="189"/>
      <c r="N1193" s="189"/>
      <c r="O1193" s="457"/>
      <c r="P1193" s="457">
        <v>340</v>
      </c>
      <c r="Q1193" s="455"/>
      <c r="R1193" s="456">
        <f>SUBTOTAL(9,R618,R654,R680,R706,R853,R858,R914,R950,R1038,R1084,R1169,R1170,R1175,R594)</f>
        <v>0</v>
      </c>
      <c r="S1193" s="456">
        <f>SUBTOTAL(9,S618,S654,S680,S706,S853,S858,S914,S950,S1038,S1084,S1169,S1170,S1175,S594)</f>
        <v>0</v>
      </c>
      <c r="T1193" s="456">
        <f>SUBTOTAL(9,T618,T654,T680,T706,T853,T858,T914,T950,T1038,T1084,T1169,T1170,T1175,T594)</f>
        <v>0</v>
      </c>
      <c r="U1193" s="456">
        <f>SUBTOTAL(9,U618,U654,U680,U706,U853,U858,U914,U950,U1038,U1084,U1169,U1170,U1175,U594)</f>
        <v>0</v>
      </c>
      <c r="V1193" s="456">
        <f>SUBTOTAL(9,V618,V654,V680,V706,V853,V858,V914,V950,V1038,V1084,V1169,V1170,V1175,V594)</f>
        <v>0</v>
      </c>
      <c r="W1193" s="380">
        <f t="shared" si="53"/>
        <v>0</v>
      </c>
      <c r="X1193" s="56"/>
      <c r="Y1193" s="56"/>
      <c r="Z1193" s="56"/>
      <c r="AA1193" s="56"/>
      <c r="AB1193" s="56"/>
      <c r="AE1193" s="56"/>
      <c r="AF1193" s="56"/>
    </row>
    <row r="1194" spans="5:32" ht="15.6" x14ac:dyDescent="0.3">
      <c r="L1194" s="189"/>
      <c r="M1194" s="189"/>
      <c r="N1194" s="189"/>
      <c r="O1194" s="457">
        <v>247</v>
      </c>
      <c r="P1194" s="455">
        <v>223</v>
      </c>
      <c r="Q1194" s="455"/>
      <c r="R1194" s="456">
        <f>SUBTOTAL(9,R57)</f>
        <v>0</v>
      </c>
      <c r="S1194" s="456">
        <f>SUBTOTAL(9,S57)</f>
        <v>0</v>
      </c>
      <c r="T1194" s="456">
        <f>SUBTOTAL(9,T57)</f>
        <v>0</v>
      </c>
      <c r="U1194" s="456">
        <f>SUBTOTAL(9,U57)</f>
        <v>0</v>
      </c>
      <c r="V1194" s="456">
        <f>SUBTOTAL(9,V57)</f>
        <v>0</v>
      </c>
      <c r="W1194" s="380">
        <f t="shared" si="53"/>
        <v>0</v>
      </c>
      <c r="X1194" s="56"/>
      <c r="Y1194" s="56"/>
      <c r="Z1194" s="56"/>
      <c r="AA1194" s="56"/>
      <c r="AB1194" s="56"/>
      <c r="AE1194" s="56"/>
      <c r="AF1194" s="56"/>
    </row>
    <row r="1195" spans="5:32" ht="15.6" x14ac:dyDescent="0.3">
      <c r="L1195" s="189"/>
      <c r="M1195" s="189"/>
      <c r="N1195" s="189"/>
      <c r="O1195" s="455">
        <v>112</v>
      </c>
      <c r="P1195" s="455"/>
      <c r="Q1195" s="455"/>
      <c r="R1195" s="456">
        <f>SUBTOTAL(9,R12)</f>
        <v>0</v>
      </c>
      <c r="S1195" s="456">
        <f>SUBTOTAL(9,S12)</f>
        <v>0</v>
      </c>
      <c r="T1195" s="456">
        <f>SUBTOTAL(9,T12)</f>
        <v>0</v>
      </c>
      <c r="U1195" s="456">
        <f>SUBTOTAL(9,U12)</f>
        <v>0</v>
      </c>
      <c r="V1195" s="456">
        <f>SUBTOTAL(9,V12)</f>
        <v>0</v>
      </c>
      <c r="W1195" s="380">
        <f t="shared" si="53"/>
        <v>0</v>
      </c>
      <c r="X1195" s="56"/>
      <c r="Y1195" s="56"/>
      <c r="Z1195" s="56"/>
      <c r="AA1195" s="56"/>
      <c r="AB1195" s="56"/>
      <c r="AE1195" s="56"/>
      <c r="AF1195" s="56"/>
    </row>
    <row r="1196" spans="5:32" ht="15.6" x14ac:dyDescent="0.3">
      <c r="L1196" s="189"/>
      <c r="M1196" s="189"/>
      <c r="N1196" s="189"/>
      <c r="O1196" s="455">
        <v>113</v>
      </c>
      <c r="P1196" s="455"/>
      <c r="Q1196" s="455"/>
      <c r="R1196" s="456">
        <f>SUBTOTAL(9,R19)</f>
        <v>0</v>
      </c>
      <c r="S1196" s="456">
        <f>SUBTOTAL(9,S19)</f>
        <v>0</v>
      </c>
      <c r="T1196" s="456">
        <f>SUBTOTAL(9,T19)</f>
        <v>0</v>
      </c>
      <c r="U1196" s="456">
        <f>SUBTOTAL(9,U19)</f>
        <v>0</v>
      </c>
      <c r="V1196" s="456">
        <f>SUBTOTAL(9,V19)</f>
        <v>0</v>
      </c>
      <c r="W1196" s="380">
        <f t="shared" si="53"/>
        <v>0</v>
      </c>
      <c r="X1196" s="56"/>
      <c r="Y1196" s="56"/>
      <c r="Z1196" s="56"/>
      <c r="AA1196" s="56"/>
      <c r="AB1196" s="56"/>
      <c r="AE1196" s="56"/>
      <c r="AF1196" s="56"/>
    </row>
    <row r="1197" spans="5:32" ht="15.6" x14ac:dyDescent="0.3">
      <c r="L1197" s="189"/>
      <c r="M1197" s="189"/>
      <c r="N1197" s="189"/>
      <c r="O1197" s="455">
        <v>321</v>
      </c>
      <c r="P1197" s="455"/>
      <c r="Q1197" s="455"/>
      <c r="R1197" s="456">
        <f>SUBTOTAL(9,R25)</f>
        <v>0</v>
      </c>
      <c r="S1197" s="456">
        <f>SUBTOTAL(9,S25)</f>
        <v>0</v>
      </c>
      <c r="T1197" s="456">
        <f>SUBTOTAL(9,T25)</f>
        <v>0</v>
      </c>
      <c r="U1197" s="456">
        <f>SUBTOTAL(9,U25)</f>
        <v>0</v>
      </c>
      <c r="V1197" s="456">
        <f>SUBTOTAL(9,V25)</f>
        <v>0</v>
      </c>
      <c r="W1197" s="380">
        <f t="shared" si="53"/>
        <v>0</v>
      </c>
      <c r="X1197" s="56"/>
      <c r="Y1197" s="56"/>
      <c r="Z1197" s="56"/>
      <c r="AA1197" s="56"/>
      <c r="AB1197" s="56"/>
      <c r="AE1197" s="56"/>
      <c r="AF1197" s="56"/>
    </row>
    <row r="1198" spans="5:32" ht="15.6" x14ac:dyDescent="0.3">
      <c r="L1198" s="189"/>
      <c r="M1198" s="189"/>
      <c r="N1198" s="189"/>
      <c r="O1198" s="455">
        <v>851</v>
      </c>
      <c r="P1198" s="455"/>
      <c r="Q1198" s="455"/>
      <c r="R1198" s="456">
        <f>SUBTOTAL(9,R30)</f>
        <v>0</v>
      </c>
      <c r="S1198" s="456">
        <f>SUBTOTAL(9,S30)</f>
        <v>0</v>
      </c>
      <c r="T1198" s="456">
        <f>SUBTOTAL(9,T30)</f>
        <v>0</v>
      </c>
      <c r="U1198" s="456">
        <f>SUBTOTAL(9,U30)</f>
        <v>0</v>
      </c>
      <c r="V1198" s="456">
        <f>SUBTOTAL(9,V30)</f>
        <v>0</v>
      </c>
      <c r="W1198" s="380">
        <f t="shared" si="53"/>
        <v>0</v>
      </c>
      <c r="X1198" s="56"/>
      <c r="Y1198" s="56"/>
      <c r="Z1198" s="56"/>
      <c r="AA1198" s="56"/>
      <c r="AB1198" s="56"/>
      <c r="AE1198" s="56"/>
      <c r="AF1198" s="56"/>
    </row>
    <row r="1199" spans="5:32" ht="15.6" x14ac:dyDescent="0.3">
      <c r="L1199" s="189"/>
      <c r="M1199" s="189"/>
      <c r="N1199" s="189"/>
      <c r="O1199" s="455">
        <v>852</v>
      </c>
      <c r="P1199" s="455"/>
      <c r="Q1199" s="455"/>
      <c r="R1199" s="456">
        <f>SUBTOTAL(9,R41)</f>
        <v>0</v>
      </c>
      <c r="S1199" s="456">
        <f>SUBTOTAL(9,S41)</f>
        <v>0</v>
      </c>
      <c r="T1199" s="456">
        <f>SUBTOTAL(9,T41)</f>
        <v>0</v>
      </c>
      <c r="U1199" s="456">
        <f>SUBTOTAL(9,U41)</f>
        <v>0</v>
      </c>
      <c r="V1199" s="456">
        <f>SUBTOTAL(9,V41)</f>
        <v>0</v>
      </c>
      <c r="W1199" s="380">
        <f t="shared" si="53"/>
        <v>0</v>
      </c>
      <c r="X1199" s="56"/>
      <c r="Y1199" s="56"/>
      <c r="Z1199" s="56"/>
      <c r="AA1199" s="56"/>
      <c r="AB1199" s="56"/>
      <c r="AE1199" s="56"/>
      <c r="AF1199" s="56"/>
    </row>
    <row r="1200" spans="5:32" ht="15.6" x14ac:dyDescent="0.3">
      <c r="L1200" s="189"/>
      <c r="M1200" s="189"/>
      <c r="N1200" s="189"/>
      <c r="O1200" s="455">
        <v>243</v>
      </c>
      <c r="P1200" s="455"/>
      <c r="Q1200" s="455"/>
      <c r="R1200" s="456">
        <f>SUM(R22)</f>
        <v>0</v>
      </c>
      <c r="S1200" s="456">
        <f>SUM(S22)</f>
        <v>0</v>
      </c>
      <c r="T1200" s="456">
        <f>SUM(T22)</f>
        <v>0</v>
      </c>
      <c r="U1200" s="456">
        <f>SUM(U22)</f>
        <v>0</v>
      </c>
      <c r="V1200" s="456">
        <f>SUM(V22)</f>
        <v>0</v>
      </c>
      <c r="W1200" s="380">
        <f>R1200-S1200-T1200-U1200-V1200</f>
        <v>0</v>
      </c>
      <c r="X1200" s="56"/>
      <c r="Y1200" s="56"/>
      <c r="Z1200" s="56"/>
      <c r="AA1200" s="56"/>
      <c r="AB1200" s="56"/>
      <c r="AE1200" s="56"/>
      <c r="AF1200" s="56"/>
    </row>
    <row r="1201" spans="12:32" s="432" customFormat="1" ht="15.6" x14ac:dyDescent="0.3">
      <c r="L1201" s="458"/>
      <c r="M1201" s="458"/>
      <c r="N1201" s="458"/>
      <c r="O1201" s="459" t="s">
        <v>747</v>
      </c>
      <c r="P1201" s="459"/>
      <c r="Q1201" s="459"/>
      <c r="R1201" s="460"/>
      <c r="S1201" s="460"/>
      <c r="T1201" s="460"/>
      <c r="U1201" s="460"/>
      <c r="V1201" s="460"/>
      <c r="W1201" s="130"/>
      <c r="X1201" s="429"/>
      <c r="Y1201" s="429"/>
      <c r="Z1201" s="429"/>
      <c r="AA1201" s="429"/>
      <c r="AB1201" s="429"/>
      <c r="AC1201" s="414"/>
      <c r="AD1201" s="414"/>
      <c r="AE1201" s="429"/>
      <c r="AF1201" s="429"/>
    </row>
    <row r="1202" spans="12:32" s="432" customFormat="1" ht="15.6" x14ac:dyDescent="0.3">
      <c r="L1202" s="458"/>
      <c r="M1202" s="458"/>
      <c r="N1202" s="458"/>
      <c r="O1202" s="462">
        <v>244</v>
      </c>
      <c r="P1202" s="462"/>
      <c r="Q1202" s="459"/>
      <c r="R1202" s="460" t="e">
        <f>SUBTOTAL(9,V1202,U1202,T1202,S1202)</f>
        <v>#REF!</v>
      </c>
      <c r="S1202" s="460" t="e">
        <f>#REF!</f>
        <v>#REF!</v>
      </c>
      <c r="T1202" s="460" t="e">
        <f>#REF!</f>
        <v>#REF!</v>
      </c>
      <c r="U1202" s="460"/>
      <c r="V1202" s="460">
        <f>'Утверждено (ПДД)'!E1074</f>
        <v>4298533.33</v>
      </c>
      <c r="W1202" s="130" t="e">
        <f>R1202-S1202-T1202-U1202-V1202</f>
        <v>#REF!</v>
      </c>
      <c r="X1202" s="429"/>
      <c r="Y1202" s="429"/>
      <c r="Z1202" s="429"/>
      <c r="AA1202" s="429"/>
      <c r="AB1202" s="429"/>
      <c r="AC1202" s="414"/>
      <c r="AD1202" s="414"/>
      <c r="AE1202" s="429"/>
      <c r="AF1202" s="429"/>
    </row>
    <row r="1203" spans="12:32" s="432" customFormat="1" ht="15.6" x14ac:dyDescent="0.3">
      <c r="L1203" s="458"/>
      <c r="M1203" s="458"/>
      <c r="N1203" s="458"/>
      <c r="O1203" s="462"/>
      <c r="P1203" s="462">
        <v>220</v>
      </c>
      <c r="Q1203" s="459"/>
      <c r="R1203" s="460" t="e">
        <f t="shared" ref="R1203:R1212" si="54">SUBTOTAL(9,V1203,U1203,T1203,S1203)</f>
        <v>#REF!</v>
      </c>
      <c r="S1203" s="460" t="e">
        <f>S1202-S1204-S1205</f>
        <v>#REF!</v>
      </c>
      <c r="T1203" s="460" t="e">
        <f>T1202-T1204-T1205</f>
        <v>#REF!</v>
      </c>
      <c r="U1203" s="460">
        <f>U1202-U1204-U1205</f>
        <v>0</v>
      </c>
      <c r="V1203" s="460">
        <f>V1202-V1204-V1205</f>
        <v>407290.32</v>
      </c>
      <c r="W1203" s="130" t="e">
        <f t="shared" ref="W1203:W1211" si="55">R1203-S1203-T1203-U1203-V1203</f>
        <v>#REF!</v>
      </c>
      <c r="X1203" s="429"/>
      <c r="Y1203" s="429"/>
      <c r="Z1203" s="429"/>
      <c r="AA1203" s="429"/>
      <c r="AB1203" s="429"/>
      <c r="AC1203" s="414"/>
      <c r="AD1203" s="414"/>
      <c r="AE1203" s="429"/>
      <c r="AF1203" s="429"/>
    </row>
    <row r="1204" spans="12:32" s="432" customFormat="1" ht="15.6" x14ac:dyDescent="0.3">
      <c r="L1204" s="458"/>
      <c r="M1204" s="458"/>
      <c r="N1204" s="458"/>
      <c r="O1204" s="462"/>
      <c r="P1204" s="462">
        <v>310</v>
      </c>
      <c r="Q1204" s="459"/>
      <c r="R1204" s="460" t="e">
        <f>SUBTOTAL(9,V1204,U1204,T1204,S1204)</f>
        <v>#REF!</v>
      </c>
      <c r="S1204" s="460" t="e">
        <f>#REF!</f>
        <v>#REF!</v>
      </c>
      <c r="T1204" s="460" t="e">
        <f>#REF!</f>
        <v>#REF!</v>
      </c>
      <c r="U1204" s="460"/>
      <c r="V1204" s="460">
        <f>'Утверждено (ПДД)'!E1076</f>
        <v>139935.60999999999</v>
      </c>
      <c r="W1204" s="130" t="e">
        <f t="shared" si="55"/>
        <v>#REF!</v>
      </c>
      <c r="X1204" s="429"/>
      <c r="Y1204" s="429"/>
      <c r="Z1204" s="429"/>
      <c r="AA1204" s="429"/>
      <c r="AB1204" s="429"/>
      <c r="AC1204" s="414"/>
      <c r="AD1204" s="414"/>
      <c r="AE1204" s="429"/>
      <c r="AF1204" s="429"/>
    </row>
    <row r="1205" spans="12:32" s="432" customFormat="1" ht="15.6" x14ac:dyDescent="0.3">
      <c r="L1205" s="458"/>
      <c r="M1205" s="458"/>
      <c r="N1205" s="458"/>
      <c r="O1205" s="462"/>
      <c r="P1205" s="462">
        <v>340</v>
      </c>
      <c r="Q1205" s="459"/>
      <c r="R1205" s="460" t="e">
        <f t="shared" si="54"/>
        <v>#REF!</v>
      </c>
      <c r="S1205" s="460" t="e">
        <f>#REF!</f>
        <v>#REF!</v>
      </c>
      <c r="T1205" s="460" t="e">
        <f>#REF!</f>
        <v>#REF!</v>
      </c>
      <c r="U1205" s="460"/>
      <c r="V1205" s="460">
        <f>'Утверждено (ПДД)'!E1077</f>
        <v>3751307.4</v>
      </c>
      <c r="W1205" s="130" t="e">
        <f t="shared" si="55"/>
        <v>#REF!</v>
      </c>
      <c r="X1205" s="429"/>
      <c r="Y1205" s="429"/>
      <c r="Z1205" s="429"/>
      <c r="AA1205" s="429"/>
      <c r="AB1205" s="429"/>
      <c r="AC1205" s="414"/>
      <c r="AD1205" s="414"/>
      <c r="AE1205" s="429"/>
      <c r="AF1205" s="429"/>
    </row>
    <row r="1206" spans="12:32" s="432" customFormat="1" ht="15.6" x14ac:dyDescent="0.3">
      <c r="L1206" s="458"/>
      <c r="M1206" s="458"/>
      <c r="N1206" s="458"/>
      <c r="O1206" s="462">
        <v>247</v>
      </c>
      <c r="P1206" s="459">
        <v>223</v>
      </c>
      <c r="Q1206" s="459"/>
      <c r="R1206" s="460" t="e">
        <f t="shared" si="54"/>
        <v>#REF!</v>
      </c>
      <c r="S1206" s="460" t="e">
        <f>#REF!</f>
        <v>#REF!</v>
      </c>
      <c r="T1206" s="460"/>
      <c r="U1206" s="460"/>
      <c r="V1206" s="460">
        <f>'Утверждено (ПДД)'!E1078</f>
        <v>58928.800000000003</v>
      </c>
      <c r="W1206" s="130" t="e">
        <f t="shared" si="55"/>
        <v>#REF!</v>
      </c>
      <c r="X1206" s="429"/>
      <c r="Y1206" s="429"/>
      <c r="Z1206" s="429"/>
      <c r="AA1206" s="429"/>
      <c r="AB1206" s="429"/>
      <c r="AC1206" s="414"/>
      <c r="AD1206" s="414"/>
      <c r="AE1206" s="429"/>
      <c r="AF1206" s="429"/>
    </row>
    <row r="1207" spans="12:32" s="432" customFormat="1" ht="15.6" x14ac:dyDescent="0.3">
      <c r="L1207" s="458"/>
      <c r="M1207" s="458"/>
      <c r="N1207" s="458"/>
      <c r="O1207" s="459">
        <v>112</v>
      </c>
      <c r="P1207" s="459"/>
      <c r="Q1207" s="459"/>
      <c r="R1207" s="460" t="e">
        <f t="shared" si="54"/>
        <v>#REF!</v>
      </c>
      <c r="S1207" s="460" t="e">
        <f>#REF!+#REF!+#REF!</f>
        <v>#REF!</v>
      </c>
      <c r="T1207" s="460" t="e">
        <f>#REF!</f>
        <v>#REF!</v>
      </c>
      <c r="U1207" s="460"/>
      <c r="V1207" s="460"/>
      <c r="W1207" s="130" t="e">
        <f t="shared" si="55"/>
        <v>#REF!</v>
      </c>
      <c r="X1207" s="429"/>
      <c r="Y1207" s="429"/>
      <c r="Z1207" s="429"/>
      <c r="AA1207" s="429"/>
      <c r="AB1207" s="429"/>
      <c r="AC1207" s="414"/>
      <c r="AD1207" s="414"/>
      <c r="AE1207" s="429"/>
      <c r="AF1207" s="429"/>
    </row>
    <row r="1208" spans="12:32" s="432" customFormat="1" ht="15.6" x14ac:dyDescent="0.3">
      <c r="L1208" s="458"/>
      <c r="M1208" s="458"/>
      <c r="N1208" s="458"/>
      <c r="O1208" s="459">
        <v>113</v>
      </c>
      <c r="P1208" s="459"/>
      <c r="Q1208" s="459"/>
      <c r="R1208" s="460">
        <f t="shared" si="54"/>
        <v>0</v>
      </c>
      <c r="S1208" s="460"/>
      <c r="T1208" s="460"/>
      <c r="U1208" s="460"/>
      <c r="V1208" s="460"/>
      <c r="W1208" s="130">
        <f t="shared" si="55"/>
        <v>0</v>
      </c>
      <c r="X1208" s="429"/>
      <c r="Y1208" s="429"/>
      <c r="Z1208" s="429"/>
      <c r="AA1208" s="429"/>
      <c r="AB1208" s="429"/>
      <c r="AC1208" s="414"/>
      <c r="AD1208" s="414"/>
      <c r="AE1208" s="429"/>
      <c r="AF1208" s="429"/>
    </row>
    <row r="1209" spans="12:32" s="432" customFormat="1" ht="15.6" x14ac:dyDescent="0.3">
      <c r="L1209" s="458"/>
      <c r="M1209" s="458"/>
      <c r="N1209" s="458"/>
      <c r="O1209" s="459">
        <v>321</v>
      </c>
      <c r="P1209" s="459"/>
      <c r="Q1209" s="459"/>
      <c r="R1209" s="460" t="e">
        <f t="shared" si="54"/>
        <v>#REF!</v>
      </c>
      <c r="S1209" s="460" t="e">
        <f>#REF!</f>
        <v>#REF!</v>
      </c>
      <c r="T1209" s="460"/>
      <c r="U1209" s="460"/>
      <c r="V1209" s="460">
        <f>'Утверждено (ПДД)'!E138+'Утверждено (ПДД)'!E137</f>
        <v>0</v>
      </c>
      <c r="W1209" s="130" t="e">
        <f t="shared" si="55"/>
        <v>#REF!</v>
      </c>
      <c r="X1209" s="429"/>
      <c r="Y1209" s="429"/>
      <c r="Z1209" s="429"/>
      <c r="AA1209" s="429"/>
      <c r="AB1209" s="429"/>
      <c r="AC1209" s="414"/>
      <c r="AD1209" s="414"/>
      <c r="AE1209" s="429"/>
      <c r="AF1209" s="429"/>
    </row>
    <row r="1210" spans="12:32" s="432" customFormat="1" ht="15.6" x14ac:dyDescent="0.3">
      <c r="L1210" s="458"/>
      <c r="M1210" s="458"/>
      <c r="N1210" s="458"/>
      <c r="O1210" s="459">
        <v>851</v>
      </c>
      <c r="P1210" s="459"/>
      <c r="Q1210" s="459"/>
      <c r="R1210" s="460" t="e">
        <f t="shared" si="54"/>
        <v>#REF!</v>
      </c>
      <c r="S1210" s="460" t="e">
        <f>#REF!+#REF!</f>
        <v>#REF!</v>
      </c>
      <c r="T1210" s="460"/>
      <c r="U1210" s="460"/>
      <c r="V1210" s="460">
        <f>'Утверждено (ПДД)'!E141</f>
        <v>1771</v>
      </c>
      <c r="W1210" s="130" t="e">
        <f t="shared" si="55"/>
        <v>#REF!</v>
      </c>
      <c r="X1210" s="429"/>
      <c r="Y1210" s="429"/>
      <c r="Z1210" s="429"/>
      <c r="AA1210" s="429"/>
      <c r="AB1210" s="429"/>
      <c r="AC1210" s="414"/>
      <c r="AD1210" s="414"/>
      <c r="AE1210" s="429"/>
      <c r="AF1210" s="429"/>
    </row>
    <row r="1211" spans="12:32" s="432" customFormat="1" ht="15.6" x14ac:dyDescent="0.3">
      <c r="L1211" s="458"/>
      <c r="M1211" s="458"/>
      <c r="N1211" s="458"/>
      <c r="O1211" s="459">
        <v>852</v>
      </c>
      <c r="P1211" s="459"/>
      <c r="Q1211" s="459"/>
      <c r="R1211" s="460" t="e">
        <f t="shared" si="54"/>
        <v>#REF!</v>
      </c>
      <c r="S1211" s="460" t="e">
        <f>#REF!</f>
        <v>#REF!</v>
      </c>
      <c r="T1211" s="460"/>
      <c r="U1211" s="460"/>
      <c r="V1211" s="460">
        <f>'Утверждено (ПДД)'!E139</f>
        <v>0</v>
      </c>
      <c r="W1211" s="130" t="e">
        <f t="shared" si="55"/>
        <v>#REF!</v>
      </c>
      <c r="X1211" s="429"/>
      <c r="Y1211" s="429"/>
      <c r="Z1211" s="429"/>
      <c r="AA1211" s="429"/>
      <c r="AB1211" s="429"/>
      <c r="AC1211" s="414"/>
      <c r="AD1211" s="414"/>
      <c r="AE1211" s="429"/>
      <c r="AF1211" s="429"/>
    </row>
    <row r="1212" spans="12:32" s="432" customFormat="1" ht="15.6" x14ac:dyDescent="0.3">
      <c r="L1212" s="458"/>
      <c r="M1212" s="458"/>
      <c r="N1212" s="458"/>
      <c r="O1212" s="459">
        <v>852</v>
      </c>
      <c r="P1212" s="459"/>
      <c r="Q1212" s="459"/>
      <c r="R1212" s="460">
        <f t="shared" si="54"/>
        <v>0</v>
      </c>
      <c r="S1212" s="460"/>
      <c r="T1212" s="460"/>
      <c r="U1212" s="460"/>
      <c r="V1212" s="460">
        <f>'Утверждено (ПДД)'!E143</f>
        <v>0</v>
      </c>
      <c r="W1212" s="130">
        <f>R1212-S1212-T1212-U1212-V1212</f>
        <v>0</v>
      </c>
      <c r="X1212" s="429"/>
      <c r="Y1212" s="429"/>
      <c r="Z1212" s="429"/>
      <c r="AA1212" s="429"/>
      <c r="AB1212" s="429"/>
      <c r="AC1212" s="414"/>
      <c r="AD1212" s="414"/>
      <c r="AE1212" s="429"/>
      <c r="AF1212" s="429"/>
    </row>
    <row r="1213" spans="12:32" s="433" customFormat="1" ht="15.6" x14ac:dyDescent="0.3">
      <c r="L1213" s="463"/>
      <c r="M1213" s="463"/>
      <c r="N1213" s="463"/>
      <c r="O1213" s="464" t="s">
        <v>748</v>
      </c>
      <c r="P1213" s="464"/>
      <c r="Q1213" s="464"/>
      <c r="R1213" s="465"/>
      <c r="S1213" s="465"/>
      <c r="T1213" s="465"/>
      <c r="U1213" s="465"/>
      <c r="V1213" s="465"/>
      <c r="W1213" s="380"/>
      <c r="X1213" s="430"/>
      <c r="Y1213" s="430"/>
      <c r="Z1213" s="430"/>
      <c r="AA1213" s="430"/>
      <c r="AB1213" s="430"/>
      <c r="AC1213" s="471"/>
      <c r="AD1213" s="471"/>
      <c r="AE1213" s="430"/>
      <c r="AF1213" s="430"/>
    </row>
    <row r="1214" spans="12:32" s="433" customFormat="1" ht="15.6" x14ac:dyDescent="0.3">
      <c r="L1214" s="463"/>
      <c r="M1214" s="463"/>
      <c r="N1214" s="463"/>
      <c r="O1214" s="467">
        <v>244</v>
      </c>
      <c r="P1214" s="467"/>
      <c r="Q1214" s="464"/>
      <c r="R1214" s="465" t="e">
        <f>R1190-R1202+R1225</f>
        <v>#REF!</v>
      </c>
      <c r="S1214" s="465" t="e">
        <f>S1190-S1202+S1225</f>
        <v>#REF!</v>
      </c>
      <c r="T1214" s="465" t="e">
        <f>T1190-T1202+T1225</f>
        <v>#REF!</v>
      </c>
      <c r="U1214" s="465">
        <f>U1190-U1202+U1225</f>
        <v>0</v>
      </c>
      <c r="V1214" s="465">
        <f>V1190-V1202+V1225</f>
        <v>-4298533.33</v>
      </c>
      <c r="W1214" s="380" t="e">
        <f>R1214-S1214-T1214-U1214-V1214</f>
        <v>#REF!</v>
      </c>
      <c r="X1214" s="430"/>
      <c r="Y1214" s="430"/>
      <c r="Z1214" s="430"/>
      <c r="AA1214" s="430"/>
      <c r="AB1214" s="430"/>
      <c r="AC1214" s="471"/>
      <c r="AD1214" s="471"/>
      <c r="AE1214" s="430"/>
      <c r="AF1214" s="430"/>
    </row>
    <row r="1215" spans="12:32" s="433" customFormat="1" ht="15.6" x14ac:dyDescent="0.3">
      <c r="L1215" s="463"/>
      <c r="M1215" s="463"/>
      <c r="N1215" s="463"/>
      <c r="O1215" s="467"/>
      <c r="P1215" s="467">
        <v>220</v>
      </c>
      <c r="Q1215" s="464"/>
      <c r="R1215" s="465" t="e">
        <f>R1191-R1203+R1225</f>
        <v>#REF!</v>
      </c>
      <c r="S1215" s="465" t="e">
        <f>S1191-S1203+S1225</f>
        <v>#REF!</v>
      </c>
      <c r="T1215" s="465" t="e">
        <f>T1191-T1203+T1225</f>
        <v>#REF!</v>
      </c>
      <c r="U1215" s="465">
        <f>U1191-U1203+U1225</f>
        <v>0</v>
      </c>
      <c r="V1215" s="465">
        <f>V1191-V1203+V1225</f>
        <v>-407290.32</v>
      </c>
      <c r="W1215" s="380" t="e">
        <f t="shared" ref="W1215:W1223" si="56">R1215-S1215-T1215-U1215-V1215</f>
        <v>#REF!</v>
      </c>
      <c r="X1215" s="430"/>
      <c r="Y1215" s="430"/>
      <c r="Z1215" s="430"/>
      <c r="AA1215" s="430"/>
      <c r="AB1215" s="430"/>
      <c r="AC1215" s="471"/>
      <c r="AD1215" s="471"/>
      <c r="AE1215" s="430"/>
      <c r="AF1215" s="430"/>
    </row>
    <row r="1216" spans="12:32" s="433" customFormat="1" ht="15.6" x14ac:dyDescent="0.3">
      <c r="L1216" s="463"/>
      <c r="M1216" s="463"/>
      <c r="N1216" s="463"/>
      <c r="O1216" s="467"/>
      <c r="P1216" s="467">
        <v>310</v>
      </c>
      <c r="Q1216" s="464"/>
      <c r="R1216" s="465" t="e">
        <f t="shared" ref="R1216:V1224" si="57">R1192-R1204</f>
        <v>#REF!</v>
      </c>
      <c r="S1216" s="465" t="e">
        <f t="shared" si="57"/>
        <v>#REF!</v>
      </c>
      <c r="T1216" s="465" t="e">
        <f t="shared" si="57"/>
        <v>#REF!</v>
      </c>
      <c r="U1216" s="465">
        <f t="shared" si="57"/>
        <v>0</v>
      </c>
      <c r="V1216" s="465">
        <f t="shared" si="57"/>
        <v>-139935.60999999999</v>
      </c>
      <c r="W1216" s="380" t="e">
        <f t="shared" si="56"/>
        <v>#REF!</v>
      </c>
      <c r="X1216" s="430"/>
      <c r="Y1216" s="430"/>
      <c r="Z1216" s="430"/>
      <c r="AA1216" s="430"/>
      <c r="AB1216" s="430"/>
      <c r="AC1216" s="471"/>
      <c r="AD1216" s="471"/>
      <c r="AE1216" s="430"/>
      <c r="AF1216" s="430"/>
    </row>
    <row r="1217" spans="12:32" s="433" customFormat="1" ht="15.6" x14ac:dyDescent="0.3">
      <c r="L1217" s="463"/>
      <c r="M1217" s="463"/>
      <c r="N1217" s="463"/>
      <c r="O1217" s="467"/>
      <c r="P1217" s="467">
        <v>340</v>
      </c>
      <c r="Q1217" s="464"/>
      <c r="R1217" s="465" t="e">
        <f t="shared" si="57"/>
        <v>#REF!</v>
      </c>
      <c r="S1217" s="465" t="e">
        <f t="shared" si="57"/>
        <v>#REF!</v>
      </c>
      <c r="T1217" s="465" t="e">
        <f t="shared" si="57"/>
        <v>#REF!</v>
      </c>
      <c r="U1217" s="465">
        <f t="shared" si="57"/>
        <v>0</v>
      </c>
      <c r="V1217" s="465">
        <f t="shared" si="57"/>
        <v>-3751307.4</v>
      </c>
      <c r="W1217" s="380" t="e">
        <f t="shared" si="56"/>
        <v>#REF!</v>
      </c>
      <c r="X1217" s="430"/>
      <c r="Y1217" s="430"/>
      <c r="Z1217" s="430"/>
      <c r="AA1217" s="430"/>
      <c r="AB1217" s="430"/>
      <c r="AC1217" s="471"/>
      <c r="AD1217" s="471"/>
      <c r="AE1217" s="430"/>
      <c r="AF1217" s="430"/>
    </row>
    <row r="1218" spans="12:32" s="433" customFormat="1" ht="15.6" x14ac:dyDescent="0.3">
      <c r="L1218" s="463"/>
      <c r="M1218" s="463"/>
      <c r="N1218" s="463"/>
      <c r="O1218" s="467">
        <v>247</v>
      </c>
      <c r="P1218" s="464">
        <v>223</v>
      </c>
      <c r="Q1218" s="464"/>
      <c r="R1218" s="465" t="e">
        <f t="shared" si="57"/>
        <v>#REF!</v>
      </c>
      <c r="S1218" s="465" t="e">
        <f t="shared" si="57"/>
        <v>#REF!</v>
      </c>
      <c r="T1218" s="465">
        <f t="shared" si="57"/>
        <v>0</v>
      </c>
      <c r="U1218" s="465">
        <f t="shared" si="57"/>
        <v>0</v>
      </c>
      <c r="V1218" s="465">
        <f t="shared" si="57"/>
        <v>-58928.800000000003</v>
      </c>
      <c r="W1218" s="380" t="e">
        <f t="shared" si="56"/>
        <v>#REF!</v>
      </c>
      <c r="X1218" s="430"/>
      <c r="Y1218" s="430"/>
      <c r="Z1218" s="430"/>
      <c r="AA1218" s="430"/>
      <c r="AB1218" s="430"/>
      <c r="AC1218" s="471"/>
      <c r="AD1218" s="471"/>
      <c r="AE1218" s="430"/>
      <c r="AF1218" s="430"/>
    </row>
    <row r="1219" spans="12:32" s="433" customFormat="1" ht="15.6" x14ac:dyDescent="0.3">
      <c r="L1219" s="463"/>
      <c r="M1219" s="463"/>
      <c r="N1219" s="463"/>
      <c r="O1219" s="464">
        <v>112</v>
      </c>
      <c r="P1219" s="464"/>
      <c r="Q1219" s="464"/>
      <c r="R1219" s="465" t="e">
        <f t="shared" si="57"/>
        <v>#REF!</v>
      </c>
      <c r="S1219" s="465" t="e">
        <f t="shared" si="57"/>
        <v>#REF!</v>
      </c>
      <c r="T1219" s="465" t="e">
        <f t="shared" si="57"/>
        <v>#REF!</v>
      </c>
      <c r="U1219" s="465">
        <f t="shared" si="57"/>
        <v>0</v>
      </c>
      <c r="V1219" s="465">
        <f t="shared" si="57"/>
        <v>0</v>
      </c>
      <c r="W1219" s="380" t="e">
        <f t="shared" si="56"/>
        <v>#REF!</v>
      </c>
      <c r="X1219" s="430"/>
      <c r="Y1219" s="430"/>
      <c r="Z1219" s="430"/>
      <c r="AA1219" s="430"/>
      <c r="AB1219" s="430"/>
      <c r="AC1219" s="471"/>
      <c r="AD1219" s="471"/>
      <c r="AE1219" s="430"/>
      <c r="AF1219" s="430"/>
    </row>
    <row r="1220" spans="12:32" s="433" customFormat="1" ht="15.6" x14ac:dyDescent="0.3">
      <c r="L1220" s="463"/>
      <c r="M1220" s="463"/>
      <c r="N1220" s="463"/>
      <c r="O1220" s="464">
        <v>113</v>
      </c>
      <c r="P1220" s="464"/>
      <c r="Q1220" s="464"/>
      <c r="R1220" s="465">
        <f t="shared" si="57"/>
        <v>0</v>
      </c>
      <c r="S1220" s="465">
        <f t="shared" si="57"/>
        <v>0</v>
      </c>
      <c r="T1220" s="465">
        <f t="shared" si="57"/>
        <v>0</v>
      </c>
      <c r="U1220" s="465">
        <f t="shared" si="57"/>
        <v>0</v>
      </c>
      <c r="V1220" s="465">
        <f t="shared" si="57"/>
        <v>0</v>
      </c>
      <c r="W1220" s="380">
        <f t="shared" si="56"/>
        <v>0</v>
      </c>
      <c r="X1220" s="430"/>
      <c r="Y1220" s="430"/>
      <c r="Z1220" s="430"/>
      <c r="AA1220" s="430"/>
      <c r="AB1220" s="430"/>
      <c r="AC1220" s="471"/>
      <c r="AD1220" s="471"/>
      <c r="AE1220" s="430"/>
      <c r="AF1220" s="430"/>
    </row>
    <row r="1221" spans="12:32" s="433" customFormat="1" ht="15.6" x14ac:dyDescent="0.3">
      <c r="L1221" s="463"/>
      <c r="M1221" s="463"/>
      <c r="N1221" s="463"/>
      <c r="O1221" s="464">
        <v>321</v>
      </c>
      <c r="P1221" s="464"/>
      <c r="Q1221" s="464"/>
      <c r="R1221" s="465" t="e">
        <f t="shared" si="57"/>
        <v>#REF!</v>
      </c>
      <c r="S1221" s="465" t="e">
        <f t="shared" si="57"/>
        <v>#REF!</v>
      </c>
      <c r="T1221" s="465">
        <f t="shared" si="57"/>
        <v>0</v>
      </c>
      <c r="U1221" s="465">
        <f t="shared" si="57"/>
        <v>0</v>
      </c>
      <c r="V1221" s="465">
        <f t="shared" si="57"/>
        <v>0</v>
      </c>
      <c r="W1221" s="380" t="e">
        <f t="shared" si="56"/>
        <v>#REF!</v>
      </c>
      <c r="X1221" s="430"/>
      <c r="Y1221" s="430"/>
      <c r="Z1221" s="430"/>
      <c r="AA1221" s="430"/>
      <c r="AB1221" s="430"/>
      <c r="AC1221" s="471"/>
      <c r="AD1221" s="471"/>
      <c r="AE1221" s="430"/>
      <c r="AF1221" s="430"/>
    </row>
    <row r="1222" spans="12:32" s="433" customFormat="1" ht="15.6" x14ac:dyDescent="0.3">
      <c r="L1222" s="463"/>
      <c r="M1222" s="463"/>
      <c r="N1222" s="463"/>
      <c r="O1222" s="464">
        <v>851</v>
      </c>
      <c r="P1222" s="464"/>
      <c r="Q1222" s="464"/>
      <c r="R1222" s="465" t="e">
        <f t="shared" si="57"/>
        <v>#REF!</v>
      </c>
      <c r="S1222" s="465" t="e">
        <f t="shared" si="57"/>
        <v>#REF!</v>
      </c>
      <c r="T1222" s="465">
        <f t="shared" si="57"/>
        <v>0</v>
      </c>
      <c r="U1222" s="465">
        <f t="shared" si="57"/>
        <v>0</v>
      </c>
      <c r="V1222" s="465">
        <f t="shared" si="57"/>
        <v>-1771</v>
      </c>
      <c r="W1222" s="380" t="e">
        <f t="shared" si="56"/>
        <v>#REF!</v>
      </c>
      <c r="X1222" s="430"/>
      <c r="Y1222" s="430"/>
      <c r="Z1222" s="430"/>
      <c r="AA1222" s="430"/>
      <c r="AB1222" s="430"/>
      <c r="AC1222" s="471"/>
      <c r="AD1222" s="471"/>
      <c r="AE1222" s="430"/>
      <c r="AF1222" s="430"/>
    </row>
    <row r="1223" spans="12:32" s="433" customFormat="1" ht="15.6" x14ac:dyDescent="0.3">
      <c r="L1223" s="463"/>
      <c r="M1223" s="463"/>
      <c r="N1223" s="463"/>
      <c r="O1223" s="464">
        <v>852</v>
      </c>
      <c r="P1223" s="464"/>
      <c r="Q1223" s="464"/>
      <c r="R1223" s="465" t="e">
        <f t="shared" si="57"/>
        <v>#REF!</v>
      </c>
      <c r="S1223" s="465" t="e">
        <f t="shared" si="57"/>
        <v>#REF!</v>
      </c>
      <c r="T1223" s="465">
        <f t="shared" si="57"/>
        <v>0</v>
      </c>
      <c r="U1223" s="465">
        <f t="shared" si="57"/>
        <v>0</v>
      </c>
      <c r="V1223" s="465">
        <f t="shared" si="57"/>
        <v>0</v>
      </c>
      <c r="W1223" s="380" t="e">
        <f t="shared" si="56"/>
        <v>#REF!</v>
      </c>
      <c r="X1223" s="430"/>
      <c r="Y1223" s="430"/>
      <c r="Z1223" s="430"/>
      <c r="AA1223" s="430"/>
      <c r="AB1223" s="430"/>
      <c r="AC1223" s="471"/>
      <c r="AD1223" s="471"/>
      <c r="AE1223" s="430"/>
      <c r="AF1223" s="430"/>
    </row>
    <row r="1224" spans="12:32" s="433" customFormat="1" ht="15.6" x14ac:dyDescent="0.3">
      <c r="L1224" s="463"/>
      <c r="M1224" s="463"/>
      <c r="N1224" s="463"/>
      <c r="O1224" s="464">
        <v>243</v>
      </c>
      <c r="P1224" s="464"/>
      <c r="Q1224" s="464"/>
      <c r="R1224" s="465">
        <f t="shared" si="57"/>
        <v>0</v>
      </c>
      <c r="S1224" s="465">
        <f t="shared" si="57"/>
        <v>0</v>
      </c>
      <c r="T1224" s="465">
        <f t="shared" si="57"/>
        <v>0</v>
      </c>
      <c r="U1224" s="465">
        <f t="shared" si="57"/>
        <v>0</v>
      </c>
      <c r="V1224" s="465">
        <f t="shared" si="57"/>
        <v>0</v>
      </c>
      <c r="W1224" s="380">
        <f>R1224-S1224-T1224-U1224-V1224</f>
        <v>0</v>
      </c>
      <c r="X1224" s="430"/>
      <c r="Y1224" s="430"/>
      <c r="Z1224" s="430"/>
      <c r="AA1224" s="430"/>
      <c r="AB1224" s="430"/>
      <c r="AC1224" s="471"/>
      <c r="AD1224" s="471"/>
      <c r="AE1224" s="430"/>
      <c r="AF1224" s="430"/>
    </row>
    <row r="1225" spans="12:32" s="109" customFormat="1" ht="15.6" x14ac:dyDescent="0.3">
      <c r="O1225" s="566" t="str">
        <f>'Приложение 1'!B23</f>
        <v>оплата неисполненных обязательств прошлых лет</v>
      </c>
      <c r="P1225" s="567"/>
      <c r="Q1225" s="567"/>
      <c r="R1225" s="111" t="e">
        <f>S1225+T1225+U1225+V1225</f>
        <v>#REF!</v>
      </c>
      <c r="S1225" s="111" t="e">
        <f>'Приложение 1'!D23-'Приложение 1'!D35-'Приложение 1'!D36</f>
        <v>#REF!</v>
      </c>
      <c r="T1225" s="111"/>
      <c r="U1225" s="111"/>
      <c r="V1225" s="111"/>
      <c r="W1225" s="409"/>
      <c r="X1225" s="409"/>
      <c r="Y1225" s="409"/>
      <c r="Z1225" s="409"/>
      <c r="AA1225" s="409"/>
      <c r="AB1225" s="409"/>
      <c r="AC1225" s="477"/>
      <c r="AD1225" s="477"/>
      <c r="AE1225" s="409"/>
      <c r="AF1225" s="409"/>
    </row>
    <row r="1226" spans="12:32" s="189" customFormat="1" ht="15.6" x14ac:dyDescent="0.3">
      <c r="O1226" s="455" t="s">
        <v>720</v>
      </c>
      <c r="P1226" s="455"/>
      <c r="Q1226" s="455"/>
      <c r="R1226" s="456"/>
      <c r="S1226" s="456"/>
      <c r="T1226" s="456"/>
      <c r="U1226" s="456"/>
      <c r="V1226" s="456"/>
      <c r="W1226" s="425"/>
      <c r="X1226" s="425"/>
      <c r="Y1226" s="425"/>
      <c r="Z1226" s="425"/>
      <c r="AA1226" s="425"/>
      <c r="AB1226" s="425"/>
      <c r="AC1226" s="469"/>
      <c r="AD1226" s="470"/>
      <c r="AE1226" s="425"/>
      <c r="AF1226" s="425"/>
    </row>
    <row r="1227" spans="12:32" s="189" customFormat="1" ht="15.6" x14ac:dyDescent="0.3">
      <c r="O1227" s="455" t="s">
        <v>746</v>
      </c>
      <c r="P1227" s="455"/>
      <c r="Q1227" s="455"/>
      <c r="R1227" s="456">
        <f>SUM(S1227:V1227)</f>
        <v>0</v>
      </c>
      <c r="S1227" s="456">
        <f>SUM(S314)</f>
        <v>0</v>
      </c>
      <c r="T1227" s="456">
        <f>SUM(T314)</f>
        <v>0</v>
      </c>
      <c r="U1227" s="456">
        <f>SUM(U314)</f>
        <v>0</v>
      </c>
      <c r="V1227" s="456">
        <f>SUM(V314)</f>
        <v>0</v>
      </c>
      <c r="W1227" s="425"/>
      <c r="X1227" s="425"/>
      <c r="Y1227" s="425"/>
      <c r="Z1227" s="425"/>
      <c r="AA1227" s="425"/>
      <c r="AB1227" s="425"/>
      <c r="AC1227" s="469"/>
      <c r="AD1227" s="470"/>
      <c r="AE1227" s="425"/>
      <c r="AF1227" s="425"/>
    </row>
    <row r="1228" spans="12:32" s="458" customFormat="1" ht="15.6" x14ac:dyDescent="0.3">
      <c r="O1228" s="459" t="s">
        <v>747</v>
      </c>
      <c r="P1228" s="459"/>
      <c r="Q1228" s="459"/>
      <c r="R1228" s="460" t="e">
        <f>SUM(S1228:V1228)</f>
        <v>#REF!</v>
      </c>
      <c r="S1228" s="460" t="e">
        <f>#REF!</f>
        <v>#REF!</v>
      </c>
      <c r="T1228" s="460"/>
      <c r="U1228" s="460"/>
      <c r="V1228" s="460">
        <f>'Утверждено (ПДД)'!E102</f>
        <v>0</v>
      </c>
      <c r="W1228" s="461"/>
      <c r="X1228" s="461"/>
      <c r="Y1228" s="461"/>
      <c r="Z1228" s="461"/>
      <c r="AA1228" s="461"/>
      <c r="AB1228" s="461"/>
      <c r="AC1228" s="469"/>
      <c r="AD1228" s="469"/>
      <c r="AE1228" s="461"/>
      <c r="AF1228" s="461"/>
    </row>
    <row r="1229" spans="12:32" s="463" customFormat="1" ht="15.6" x14ac:dyDescent="0.3">
      <c r="O1229" s="464" t="s">
        <v>748</v>
      </c>
      <c r="P1229" s="464"/>
      <c r="Q1229" s="464"/>
      <c r="R1229" s="465" t="e">
        <f>SUM(S1229:V1229)</f>
        <v>#REF!</v>
      </c>
      <c r="S1229" s="465" t="e">
        <f>S1227-S1228</f>
        <v>#REF!</v>
      </c>
      <c r="T1229" s="465">
        <f>T1227-T1228</f>
        <v>0</v>
      </c>
      <c r="U1229" s="465">
        <f>U1227-U1228</f>
        <v>0</v>
      </c>
      <c r="V1229" s="465">
        <f>V1227-V1228</f>
        <v>0</v>
      </c>
      <c r="W1229" s="466"/>
      <c r="X1229" s="466"/>
      <c r="Y1229" s="466"/>
      <c r="Z1229" s="466"/>
      <c r="AA1229" s="466"/>
      <c r="AB1229" s="466"/>
      <c r="AC1229" s="470"/>
      <c r="AD1229" s="470"/>
      <c r="AE1229" s="466"/>
      <c r="AF1229" s="466"/>
    </row>
    <row r="1230" spans="12:32" s="189" customFormat="1" ht="15.6" x14ac:dyDescent="0.3">
      <c r="O1230" s="455" t="s">
        <v>721</v>
      </c>
      <c r="P1230" s="455"/>
      <c r="Q1230" s="455"/>
      <c r="R1230" s="456"/>
      <c r="S1230" s="456"/>
      <c r="T1230" s="456"/>
      <c r="U1230" s="456"/>
      <c r="V1230" s="456"/>
      <c r="W1230" s="425"/>
      <c r="X1230" s="425"/>
      <c r="Y1230" s="425"/>
      <c r="Z1230" s="425"/>
      <c r="AA1230" s="425"/>
      <c r="AB1230" s="425"/>
      <c r="AC1230" s="469"/>
      <c r="AD1230" s="470"/>
      <c r="AE1230" s="425"/>
      <c r="AF1230" s="425"/>
    </row>
    <row r="1231" spans="12:32" s="189" customFormat="1" ht="15.6" x14ac:dyDescent="0.3">
      <c r="O1231" s="455" t="s">
        <v>746</v>
      </c>
      <c r="P1231" s="455"/>
      <c r="Q1231" s="455"/>
      <c r="R1231" s="456">
        <f>SUM(S1231:V1231)</f>
        <v>0</v>
      </c>
      <c r="S1231" s="456">
        <f>S448+S444+S370+S310</f>
        <v>0</v>
      </c>
      <c r="T1231" s="456">
        <f>T448+T444+T370+T310</f>
        <v>0</v>
      </c>
      <c r="U1231" s="456">
        <f>U448+U444+U370+U310</f>
        <v>0</v>
      </c>
      <c r="V1231" s="456">
        <f>V448+V444+V370+V310</f>
        <v>0</v>
      </c>
      <c r="W1231" s="425"/>
      <c r="X1231" s="425"/>
      <c r="Y1231" s="425"/>
      <c r="Z1231" s="425"/>
      <c r="AA1231" s="425"/>
      <c r="AB1231" s="425"/>
      <c r="AC1231" s="469"/>
      <c r="AD1231" s="470"/>
      <c r="AE1231" s="425"/>
      <c r="AF1231" s="425"/>
    </row>
    <row r="1232" spans="12:32" s="458" customFormat="1" ht="15.6" x14ac:dyDescent="0.3">
      <c r="O1232" s="459" t="s">
        <v>747</v>
      </c>
      <c r="P1232" s="459"/>
      <c r="Q1232" s="459"/>
      <c r="R1232" s="460" t="e">
        <f>SUM(S1232:V1232)</f>
        <v>#REF!</v>
      </c>
      <c r="S1232" s="460" t="e">
        <f>#REF!</f>
        <v>#REF!</v>
      </c>
      <c r="T1232" s="460"/>
      <c r="U1232" s="460"/>
      <c r="V1232" s="460">
        <f>'Утверждено (ПДД)'!E133+'Утверждено (ПДД)'!E134+'Утверждено (ПДД)'!E104+'Утверждено (ПДД)'!E108</f>
        <v>0</v>
      </c>
      <c r="W1232" s="461"/>
      <c r="X1232" s="461"/>
      <c r="Y1232" s="461"/>
      <c r="Z1232" s="461"/>
      <c r="AA1232" s="461"/>
      <c r="AB1232" s="461"/>
      <c r="AC1232" s="469"/>
      <c r="AD1232" s="469"/>
      <c r="AE1232" s="461"/>
      <c r="AF1232" s="461"/>
    </row>
    <row r="1233" spans="15:32" s="463" customFormat="1" ht="15.6" x14ac:dyDescent="0.3">
      <c r="O1233" s="464" t="s">
        <v>748</v>
      </c>
      <c r="P1233" s="464"/>
      <c r="Q1233" s="464"/>
      <c r="R1233" s="465" t="e">
        <f>SUM(S1233:V1233)</f>
        <v>#REF!</v>
      </c>
      <c r="S1233" s="465" t="e">
        <f>S1231-S1232</f>
        <v>#REF!</v>
      </c>
      <c r="T1233" s="465">
        <f>T1231-T1232</f>
        <v>0</v>
      </c>
      <c r="U1233" s="465">
        <f>U1231-U1232</f>
        <v>0</v>
      </c>
      <c r="V1233" s="465">
        <f>V1231-V1232</f>
        <v>0</v>
      </c>
      <c r="W1233" s="466"/>
      <c r="X1233" s="466"/>
      <c r="Y1233" s="466"/>
      <c r="Z1233" s="466"/>
      <c r="AA1233" s="466"/>
      <c r="AB1233" s="466"/>
      <c r="AC1233" s="470"/>
      <c r="AD1233" s="470"/>
      <c r="AE1233" s="466"/>
      <c r="AF1233" s="466"/>
    </row>
    <row r="1234" spans="15:32" s="189" customFormat="1" ht="15.6" x14ac:dyDescent="0.3">
      <c r="O1234" s="455" t="s">
        <v>749</v>
      </c>
      <c r="P1234" s="455"/>
      <c r="Q1234" s="455"/>
      <c r="R1234" s="456"/>
      <c r="S1234" s="456"/>
      <c r="T1234" s="456"/>
      <c r="U1234" s="456"/>
      <c r="V1234" s="456"/>
      <c r="W1234" s="425"/>
      <c r="X1234" s="425"/>
      <c r="Y1234" s="425"/>
      <c r="Z1234" s="425"/>
      <c r="AA1234" s="425"/>
      <c r="AB1234" s="425"/>
      <c r="AC1234" s="469"/>
      <c r="AD1234" s="470"/>
      <c r="AE1234" s="425"/>
      <c r="AF1234" s="425"/>
    </row>
    <row r="1235" spans="15:32" s="189" customFormat="1" ht="15.6" x14ac:dyDescent="0.3">
      <c r="O1235" s="455" t="s">
        <v>746</v>
      </c>
      <c r="P1235" s="455"/>
      <c r="Q1235" s="455"/>
      <c r="R1235" s="456">
        <f>SUM(S1235:V1235)</f>
        <v>0</v>
      </c>
      <c r="S1235" s="456">
        <f>S380</f>
        <v>0</v>
      </c>
      <c r="T1235" s="456">
        <f>T380</f>
        <v>0</v>
      </c>
      <c r="U1235" s="456">
        <f>U380</f>
        <v>0</v>
      </c>
      <c r="V1235" s="456">
        <f>V380</f>
        <v>0</v>
      </c>
      <c r="W1235" s="425"/>
      <c r="X1235" s="425"/>
      <c r="Y1235" s="425"/>
      <c r="Z1235" s="425"/>
      <c r="AA1235" s="425"/>
      <c r="AB1235" s="425"/>
      <c r="AC1235" s="469"/>
      <c r="AD1235" s="470"/>
      <c r="AE1235" s="425"/>
      <c r="AF1235" s="425"/>
    </row>
    <row r="1236" spans="15:32" s="458" customFormat="1" ht="15.6" x14ac:dyDescent="0.3">
      <c r="O1236" s="459" t="s">
        <v>747</v>
      </c>
      <c r="P1236" s="459"/>
      <c r="Q1236" s="459"/>
      <c r="R1236" s="460" t="e">
        <f>SUM(S1236:V1236)</f>
        <v>#REF!</v>
      </c>
      <c r="S1236" s="460" t="e">
        <f>#REF!</f>
        <v>#REF!</v>
      </c>
      <c r="T1236" s="460"/>
      <c r="U1236" s="460"/>
      <c r="V1236" s="460">
        <f>'Утверждено (ПДД)'!E105</f>
        <v>45247.26</v>
      </c>
      <c r="W1236" s="461"/>
      <c r="X1236" s="461"/>
      <c r="Y1236" s="461"/>
      <c r="Z1236" s="461"/>
      <c r="AA1236" s="461"/>
      <c r="AB1236" s="461"/>
      <c r="AC1236" s="469"/>
      <c r="AD1236" s="469"/>
      <c r="AE1236" s="461"/>
      <c r="AF1236" s="461"/>
    </row>
    <row r="1237" spans="15:32" s="463" customFormat="1" ht="15.6" x14ac:dyDescent="0.3">
      <c r="O1237" s="464" t="s">
        <v>748</v>
      </c>
      <c r="P1237" s="464"/>
      <c r="Q1237" s="464"/>
      <c r="R1237" s="465" t="e">
        <f>SUM(S1237:V1237)</f>
        <v>#REF!</v>
      </c>
      <c r="S1237" s="465" t="e">
        <f>S1235-S1236</f>
        <v>#REF!</v>
      </c>
      <c r="T1237" s="465">
        <f>T1235-T1236</f>
        <v>0</v>
      </c>
      <c r="U1237" s="465">
        <f>U1235-U1236</f>
        <v>0</v>
      </c>
      <c r="V1237" s="465">
        <f>V1235-V1236</f>
        <v>-45247.26</v>
      </c>
      <c r="W1237" s="466"/>
      <c r="X1237" s="466"/>
      <c r="Y1237" s="466"/>
      <c r="Z1237" s="466"/>
      <c r="AA1237" s="466"/>
      <c r="AB1237" s="466"/>
      <c r="AC1237" s="470"/>
      <c r="AD1237" s="470"/>
      <c r="AE1237" s="466"/>
      <c r="AF1237" s="466"/>
    </row>
    <row r="1238" spans="15:32" s="189" customFormat="1" ht="15.6" x14ac:dyDescent="0.3">
      <c r="O1238" s="455"/>
      <c r="P1238" s="455"/>
      <c r="Q1238" s="455"/>
      <c r="R1238" s="456"/>
      <c r="S1238" s="456"/>
      <c r="T1238" s="456"/>
      <c r="U1238" s="456"/>
      <c r="V1238" s="456"/>
      <c r="W1238" s="425"/>
      <c r="X1238" s="425"/>
      <c r="Y1238" s="425"/>
      <c r="Z1238" s="425"/>
      <c r="AA1238" s="425"/>
      <c r="AB1238" s="425"/>
      <c r="AC1238" s="469"/>
      <c r="AD1238" s="470"/>
      <c r="AE1238" s="425"/>
      <c r="AF1238" s="425"/>
    </row>
    <row r="1239" spans="15:32" s="189" customFormat="1" ht="15.6" x14ac:dyDescent="0.3">
      <c r="O1239" s="455"/>
      <c r="P1239" s="455"/>
      <c r="Q1239" s="455"/>
      <c r="R1239" s="456"/>
      <c r="S1239" s="456"/>
      <c r="T1239" s="456"/>
      <c r="U1239" s="456"/>
      <c r="V1239" s="456"/>
      <c r="W1239" s="425"/>
      <c r="X1239" s="425"/>
      <c r="Y1239" s="425"/>
      <c r="Z1239" s="425"/>
      <c r="AA1239" s="425"/>
      <c r="AB1239" s="425"/>
      <c r="AC1239" s="469"/>
      <c r="AD1239" s="470"/>
      <c r="AE1239" s="425"/>
      <c r="AF1239" s="425"/>
    </row>
    <row r="1240" spans="15:32" s="189" customFormat="1" ht="15.6" x14ac:dyDescent="0.3">
      <c r="O1240" s="455"/>
      <c r="P1240" s="455"/>
      <c r="Q1240" s="455"/>
      <c r="R1240" s="456"/>
      <c r="S1240" s="456"/>
      <c r="T1240" s="456"/>
      <c r="U1240" s="456"/>
      <c r="V1240" s="456"/>
      <c r="W1240" s="425"/>
      <c r="X1240" s="425"/>
      <c r="Y1240" s="425"/>
      <c r="Z1240" s="425"/>
      <c r="AA1240" s="425"/>
      <c r="AB1240" s="425"/>
      <c r="AC1240" s="469"/>
      <c r="AD1240" s="470"/>
      <c r="AE1240" s="425"/>
      <c r="AF1240" s="425"/>
    </row>
    <row r="1241" spans="15:32" s="189" customFormat="1" ht="15.6" x14ac:dyDescent="0.3">
      <c r="O1241" s="455"/>
      <c r="P1241" s="455"/>
      <c r="Q1241" s="455"/>
      <c r="R1241" s="456"/>
      <c r="S1241" s="456"/>
      <c r="T1241" s="456"/>
      <c r="U1241" s="456"/>
      <c r="V1241" s="456"/>
      <c r="W1241" s="425"/>
      <c r="X1241" s="425"/>
      <c r="Y1241" s="425"/>
      <c r="Z1241" s="425"/>
      <c r="AA1241" s="425"/>
      <c r="AB1241" s="425"/>
      <c r="AC1241" s="469"/>
      <c r="AD1241" s="470"/>
      <c r="AE1241" s="425"/>
      <c r="AF1241" s="425"/>
    </row>
    <row r="1242" spans="15:32" s="189" customFormat="1" ht="15.6" x14ac:dyDescent="0.3">
      <c r="O1242" s="455"/>
      <c r="P1242" s="455"/>
      <c r="Q1242" s="455"/>
      <c r="R1242" s="456"/>
      <c r="S1242" s="456"/>
      <c r="T1242" s="456"/>
      <c r="U1242" s="456"/>
      <c r="V1242" s="456"/>
      <c r="W1242" s="425"/>
      <c r="X1242" s="425"/>
      <c r="Y1242" s="425"/>
      <c r="Z1242" s="425"/>
      <c r="AA1242" s="425"/>
      <c r="AB1242" s="425"/>
      <c r="AC1242" s="469"/>
      <c r="AD1242" s="470"/>
      <c r="AE1242" s="425"/>
      <c r="AF1242" s="425"/>
    </row>
    <row r="1243" spans="15:32" s="189" customFormat="1" ht="15.6" x14ac:dyDescent="0.3">
      <c r="O1243" s="455"/>
      <c r="P1243" s="455"/>
      <c r="Q1243" s="455"/>
      <c r="R1243" s="456"/>
      <c r="S1243" s="456"/>
      <c r="T1243" s="456"/>
      <c r="U1243" s="456"/>
      <c r="V1243" s="456"/>
      <c r="W1243" s="425"/>
      <c r="X1243" s="425"/>
      <c r="Y1243" s="425"/>
      <c r="Z1243" s="425"/>
      <c r="AA1243" s="425"/>
      <c r="AB1243" s="425"/>
      <c r="AC1243" s="469"/>
      <c r="AD1243" s="470"/>
      <c r="AE1243" s="425"/>
      <c r="AF1243" s="425"/>
    </row>
    <row r="1244" spans="15:32" s="189" customFormat="1" ht="15.6" x14ac:dyDescent="0.3">
      <c r="O1244" s="455"/>
      <c r="P1244" s="455"/>
      <c r="Q1244" s="455"/>
      <c r="R1244" s="456"/>
      <c r="S1244" s="456"/>
      <c r="T1244" s="456"/>
      <c r="U1244" s="456"/>
      <c r="V1244" s="456"/>
      <c r="W1244" s="425"/>
      <c r="X1244" s="425"/>
      <c r="Y1244" s="425"/>
      <c r="Z1244" s="425"/>
      <c r="AA1244" s="425"/>
      <c r="AB1244" s="425"/>
      <c r="AC1244" s="469"/>
      <c r="AD1244" s="470"/>
      <c r="AE1244" s="425"/>
      <c r="AF1244" s="425"/>
    </row>
    <row r="1245" spans="15:32" s="189" customFormat="1" ht="15.6" x14ac:dyDescent="0.3">
      <c r="O1245" s="455"/>
      <c r="P1245" s="455"/>
      <c r="Q1245" s="455"/>
      <c r="R1245" s="456"/>
      <c r="S1245" s="456"/>
      <c r="T1245" s="456"/>
      <c r="U1245" s="456"/>
      <c r="V1245" s="456"/>
      <c r="W1245" s="425"/>
      <c r="X1245" s="425"/>
      <c r="Y1245" s="425"/>
      <c r="Z1245" s="425"/>
      <c r="AA1245" s="425"/>
      <c r="AB1245" s="425"/>
      <c r="AC1245" s="469"/>
      <c r="AD1245" s="470"/>
      <c r="AE1245" s="425"/>
      <c r="AF1245" s="425"/>
    </row>
    <row r="1246" spans="15:32" s="189" customFormat="1" ht="15.6" x14ac:dyDescent="0.3">
      <c r="O1246" s="455"/>
      <c r="P1246" s="455"/>
      <c r="Q1246" s="455"/>
      <c r="R1246" s="456"/>
      <c r="S1246" s="456"/>
      <c r="T1246" s="456"/>
      <c r="U1246" s="456"/>
      <c r="V1246" s="456"/>
      <c r="W1246" s="425"/>
      <c r="X1246" s="425"/>
      <c r="Y1246" s="425"/>
      <c r="Z1246" s="425"/>
      <c r="AA1246" s="425"/>
      <c r="AB1246" s="425"/>
      <c r="AC1246" s="469"/>
      <c r="AD1246" s="470"/>
      <c r="AE1246" s="425"/>
      <c r="AF1246" s="425"/>
    </row>
    <row r="1247" spans="15:32" s="189" customFormat="1" ht="15.6" x14ac:dyDescent="0.3">
      <c r="O1247" s="455"/>
      <c r="P1247" s="455"/>
      <c r="Q1247" s="455"/>
      <c r="R1247" s="456"/>
      <c r="S1247" s="456"/>
      <c r="T1247" s="456"/>
      <c r="U1247" s="456"/>
      <c r="V1247" s="456"/>
      <c r="W1247" s="425"/>
      <c r="X1247" s="425"/>
      <c r="Y1247" s="425"/>
      <c r="Z1247" s="425"/>
      <c r="AA1247" s="425"/>
      <c r="AB1247" s="425"/>
      <c r="AC1247" s="469"/>
      <c r="AD1247" s="470"/>
      <c r="AE1247" s="425"/>
      <c r="AF1247" s="425"/>
    </row>
    <row r="1248" spans="15:32" x14ac:dyDescent="0.25">
      <c r="R1248" s="48"/>
      <c r="S1248" s="48"/>
      <c r="T1248" s="48"/>
      <c r="U1248" s="48"/>
      <c r="V1248" s="48"/>
      <c r="W1248" s="56"/>
      <c r="X1248" s="56"/>
      <c r="Y1248" s="56"/>
      <c r="Z1248" s="56"/>
      <c r="AA1248" s="56"/>
      <c r="AB1248" s="56"/>
      <c r="AE1248" s="56"/>
      <c r="AF1248" s="56"/>
    </row>
    <row r="1249" spans="18:32" x14ac:dyDescent="0.25">
      <c r="R1249" s="48"/>
      <c r="S1249" s="48"/>
      <c r="T1249" s="48"/>
      <c r="U1249" s="48"/>
      <c r="V1249" s="48"/>
      <c r="W1249" s="56"/>
      <c r="X1249" s="56"/>
      <c r="Y1249" s="56"/>
      <c r="Z1249" s="56"/>
      <c r="AA1249" s="56"/>
      <c r="AB1249" s="56"/>
      <c r="AE1249" s="56"/>
      <c r="AF1249" s="56"/>
    </row>
    <row r="1250" spans="18:32" x14ac:dyDescent="0.25">
      <c r="R1250" s="48"/>
      <c r="S1250" s="48"/>
      <c r="T1250" s="48"/>
      <c r="U1250" s="48"/>
      <c r="V1250" s="48"/>
      <c r="W1250" s="56"/>
      <c r="X1250" s="56"/>
      <c r="Y1250" s="56"/>
      <c r="Z1250" s="56"/>
      <c r="AA1250" s="56"/>
      <c r="AB1250" s="56"/>
      <c r="AE1250" s="56"/>
      <c r="AF1250" s="56"/>
    </row>
    <row r="1251" spans="18:32" x14ac:dyDescent="0.25">
      <c r="R1251" s="48"/>
      <c r="S1251" s="48"/>
      <c r="T1251" s="48"/>
      <c r="U1251" s="48"/>
      <c r="V1251" s="48"/>
      <c r="W1251" s="56"/>
      <c r="X1251" s="56"/>
      <c r="Y1251" s="56"/>
      <c r="Z1251" s="56"/>
      <c r="AA1251" s="56"/>
      <c r="AB1251" s="56"/>
      <c r="AE1251" s="56"/>
      <c r="AF1251" s="56"/>
    </row>
    <row r="1252" spans="18:32" x14ac:dyDescent="0.25">
      <c r="R1252" s="48"/>
      <c r="S1252" s="48"/>
      <c r="T1252" s="48"/>
      <c r="U1252" s="48"/>
      <c r="V1252" s="48"/>
    </row>
    <row r="1253" spans="18:32" x14ac:dyDescent="0.25">
      <c r="R1253" s="48"/>
      <c r="S1253" s="48"/>
      <c r="T1253" s="48"/>
      <c r="U1253" s="48"/>
      <c r="V1253" s="48"/>
    </row>
    <row r="1254" spans="18:32" x14ac:dyDescent="0.25">
      <c r="R1254" s="48"/>
      <c r="S1254" s="48"/>
      <c r="T1254" s="48"/>
      <c r="U1254" s="48"/>
      <c r="V1254" s="48"/>
    </row>
    <row r="1255" spans="18:32" x14ac:dyDescent="0.25">
      <c r="R1255" s="48"/>
      <c r="S1255" s="48"/>
      <c r="T1255" s="48"/>
      <c r="U1255" s="48"/>
      <c r="V1255" s="48"/>
    </row>
    <row r="1256" spans="18:32" x14ac:dyDescent="0.25">
      <c r="R1256" s="48"/>
      <c r="S1256" s="48"/>
      <c r="T1256" s="48"/>
      <c r="U1256" s="48"/>
      <c r="V1256" s="48"/>
    </row>
    <row r="1257" spans="18:32" x14ac:dyDescent="0.25">
      <c r="R1257" s="48"/>
      <c r="S1257" s="48"/>
      <c r="T1257" s="48"/>
      <c r="U1257" s="48"/>
      <c r="V1257" s="48"/>
    </row>
    <row r="1258" spans="18:32" x14ac:dyDescent="0.25">
      <c r="R1258" s="48"/>
      <c r="S1258" s="48"/>
      <c r="T1258" s="48"/>
      <c r="U1258" s="48"/>
      <c r="V1258" s="48"/>
    </row>
    <row r="1259" spans="18:32" x14ac:dyDescent="0.25">
      <c r="R1259" s="48"/>
      <c r="S1259" s="48"/>
      <c r="T1259" s="48"/>
      <c r="U1259" s="48"/>
      <c r="V1259" s="48"/>
    </row>
    <row r="1260" spans="18:32" x14ac:dyDescent="0.25">
      <c r="R1260" s="48"/>
      <c r="S1260" s="48"/>
      <c r="T1260" s="48"/>
      <c r="U1260" s="48"/>
      <c r="V1260" s="48"/>
    </row>
    <row r="1261" spans="18:32" x14ac:dyDescent="0.25">
      <c r="R1261" s="48"/>
      <c r="S1261" s="48"/>
      <c r="T1261" s="48"/>
      <c r="U1261" s="48"/>
      <c r="V1261" s="48"/>
    </row>
    <row r="1262" spans="18:32" x14ac:dyDescent="0.25">
      <c r="R1262" s="48"/>
      <c r="S1262" s="48"/>
      <c r="T1262" s="48"/>
      <c r="U1262" s="48"/>
      <c r="V1262" s="48"/>
    </row>
    <row r="1263" spans="18:32" x14ac:dyDescent="0.25">
      <c r="R1263" s="48"/>
      <c r="S1263" s="48"/>
      <c r="T1263" s="48"/>
      <c r="U1263" s="48"/>
      <c r="V1263" s="48"/>
    </row>
    <row r="1264" spans="18:32" x14ac:dyDescent="0.25">
      <c r="R1264" s="48"/>
      <c r="S1264" s="48"/>
      <c r="T1264" s="48"/>
      <c r="U1264" s="48"/>
      <c r="V1264" s="48"/>
    </row>
    <row r="1265" spans="18:22" x14ac:dyDescent="0.25">
      <c r="R1265" s="48"/>
      <c r="S1265" s="48"/>
      <c r="T1265" s="48"/>
      <c r="U1265" s="48"/>
      <c r="V1265" s="48"/>
    </row>
    <row r="1266" spans="18:22" x14ac:dyDescent="0.25">
      <c r="R1266" s="48"/>
      <c r="S1266" s="48"/>
      <c r="T1266" s="48"/>
      <c r="U1266" s="48"/>
      <c r="V1266" s="48"/>
    </row>
    <row r="1267" spans="18:22" x14ac:dyDescent="0.25">
      <c r="R1267" s="48"/>
      <c r="S1267" s="48"/>
      <c r="T1267" s="48"/>
      <c r="U1267" s="48"/>
      <c r="V1267" s="48"/>
    </row>
    <row r="1268" spans="18:22" x14ac:dyDescent="0.25">
      <c r="R1268" s="48"/>
      <c r="S1268" s="48"/>
      <c r="T1268" s="48"/>
      <c r="U1268" s="48"/>
      <c r="V1268" s="48"/>
    </row>
    <row r="1269" spans="18:22" x14ac:dyDescent="0.25">
      <c r="R1269" s="48"/>
      <c r="S1269" s="48"/>
      <c r="T1269" s="48"/>
      <c r="U1269" s="48"/>
      <c r="V1269" s="48"/>
    </row>
    <row r="1270" spans="18:22" x14ac:dyDescent="0.25">
      <c r="R1270" s="48"/>
      <c r="S1270" s="48"/>
      <c r="T1270" s="48"/>
      <c r="U1270" s="48"/>
      <c r="V1270" s="48"/>
    </row>
    <row r="1271" spans="18:22" x14ac:dyDescent="0.25">
      <c r="R1271" s="48"/>
      <c r="S1271" s="48"/>
      <c r="T1271" s="48"/>
      <c r="U1271" s="48"/>
      <c r="V1271" s="48"/>
    </row>
    <row r="1272" spans="18:22" x14ac:dyDescent="0.25">
      <c r="R1272" s="48"/>
      <c r="S1272" s="48"/>
      <c r="T1272" s="48"/>
      <c r="U1272" s="48"/>
      <c r="V1272" s="48"/>
    </row>
    <row r="1273" spans="18:22" x14ac:dyDescent="0.25">
      <c r="R1273" s="48"/>
      <c r="S1273" s="48"/>
      <c r="T1273" s="48"/>
      <c r="U1273" s="48"/>
      <c r="V1273" s="48"/>
    </row>
    <row r="1274" spans="18:22" x14ac:dyDescent="0.25">
      <c r="R1274" s="48"/>
      <c r="S1274" s="48"/>
      <c r="T1274" s="48"/>
      <c r="U1274" s="48"/>
      <c r="V1274" s="48"/>
    </row>
    <row r="1275" spans="18:22" x14ac:dyDescent="0.25">
      <c r="R1275" s="48"/>
      <c r="S1275" s="48"/>
      <c r="T1275" s="48"/>
      <c r="U1275" s="48"/>
      <c r="V1275" s="48"/>
    </row>
    <row r="1276" spans="18:22" x14ac:dyDescent="0.25">
      <c r="R1276" s="48"/>
      <c r="S1276" s="48"/>
      <c r="T1276" s="48"/>
      <c r="U1276" s="48"/>
      <c r="V1276" s="48"/>
    </row>
    <row r="1277" spans="18:22" x14ac:dyDescent="0.25">
      <c r="R1277" s="48"/>
      <c r="S1277" s="48"/>
      <c r="T1277" s="48"/>
      <c r="U1277" s="48"/>
      <c r="V1277" s="48"/>
    </row>
    <row r="1278" spans="18:22" x14ac:dyDescent="0.25">
      <c r="R1278" s="48"/>
      <c r="S1278" s="48"/>
      <c r="T1278" s="48"/>
      <c r="U1278" s="48"/>
      <c r="V1278" s="48"/>
    </row>
    <row r="1279" spans="18:22" x14ac:dyDescent="0.25">
      <c r="R1279" s="48"/>
      <c r="S1279" s="48"/>
      <c r="T1279" s="48"/>
      <c r="U1279" s="48"/>
      <c r="V1279" s="48"/>
    </row>
    <row r="1280" spans="18:22" x14ac:dyDescent="0.25">
      <c r="R1280" s="48"/>
      <c r="S1280" s="48"/>
      <c r="T1280" s="48"/>
      <c r="U1280" s="48"/>
      <c r="V1280" s="48"/>
    </row>
    <row r="1281" spans="18:22" x14ac:dyDescent="0.25">
      <c r="R1281" s="48"/>
      <c r="S1281" s="48"/>
      <c r="T1281" s="48"/>
      <c r="U1281" s="48"/>
      <c r="V1281" s="48"/>
    </row>
    <row r="1282" spans="18:22" x14ac:dyDescent="0.25">
      <c r="R1282" s="48"/>
      <c r="S1282" s="48"/>
      <c r="T1282" s="48"/>
      <c r="U1282" s="48"/>
      <c r="V1282" s="48"/>
    </row>
    <row r="1283" spans="18:22" x14ac:dyDescent="0.25">
      <c r="R1283" s="48"/>
      <c r="S1283" s="48"/>
      <c r="T1283" s="48"/>
      <c r="U1283" s="48"/>
      <c r="V1283" s="48"/>
    </row>
    <row r="1284" spans="18:22" x14ac:dyDescent="0.25">
      <c r="R1284" s="48"/>
      <c r="S1284" s="48"/>
      <c r="T1284" s="48"/>
      <c r="U1284" s="48"/>
      <c r="V1284" s="48"/>
    </row>
    <row r="1285" spans="18:22" x14ac:dyDescent="0.25">
      <c r="R1285" s="48"/>
      <c r="S1285" s="48"/>
      <c r="T1285" s="48"/>
      <c r="U1285" s="48"/>
      <c r="V1285" s="48"/>
    </row>
    <row r="1286" spans="18:22" x14ac:dyDescent="0.25">
      <c r="R1286" s="48"/>
      <c r="S1286" s="48"/>
      <c r="T1286" s="48"/>
      <c r="U1286" s="48"/>
      <c r="V1286" s="48"/>
    </row>
    <row r="1287" spans="18:22" x14ac:dyDescent="0.25">
      <c r="R1287" s="48"/>
      <c r="S1287" s="48"/>
      <c r="T1287" s="48"/>
      <c r="U1287" s="48"/>
      <c r="V1287" s="48"/>
    </row>
    <row r="1288" spans="18:22" x14ac:dyDescent="0.25">
      <c r="R1288" s="48"/>
      <c r="S1288" s="48"/>
      <c r="T1288" s="48"/>
      <c r="U1288" s="48"/>
      <c r="V1288" s="48"/>
    </row>
    <row r="1289" spans="18:22" x14ac:dyDescent="0.25">
      <c r="R1289" s="48"/>
      <c r="S1289" s="48"/>
      <c r="T1289" s="48"/>
      <c r="U1289" s="48"/>
      <c r="V1289" s="48"/>
    </row>
    <row r="1290" spans="18:22" x14ac:dyDescent="0.25">
      <c r="R1290" s="48"/>
      <c r="S1290" s="48"/>
      <c r="T1290" s="48"/>
      <c r="U1290" s="48"/>
      <c r="V1290" s="48"/>
    </row>
    <row r="1291" spans="18:22" x14ac:dyDescent="0.25">
      <c r="R1291" s="48"/>
      <c r="S1291" s="48"/>
      <c r="T1291" s="48"/>
      <c r="U1291" s="48"/>
      <c r="V1291" s="48"/>
    </row>
    <row r="1292" spans="18:22" x14ac:dyDescent="0.25">
      <c r="R1292" s="48"/>
      <c r="S1292" s="48"/>
      <c r="T1292" s="48"/>
      <c r="U1292" s="48"/>
      <c r="V1292" s="48"/>
    </row>
    <row r="1293" spans="18:22" x14ac:dyDescent="0.25">
      <c r="R1293" s="48"/>
      <c r="S1293" s="48"/>
      <c r="T1293" s="48"/>
      <c r="U1293" s="48"/>
      <c r="V1293" s="48"/>
    </row>
    <row r="1294" spans="18:22" x14ac:dyDescent="0.25">
      <c r="R1294" s="48"/>
      <c r="S1294" s="48"/>
      <c r="T1294" s="48"/>
      <c r="U1294" s="48"/>
      <c r="V1294" s="48"/>
    </row>
    <row r="1295" spans="18:22" x14ac:dyDescent="0.25">
      <c r="R1295" s="48"/>
      <c r="S1295" s="48"/>
      <c r="T1295" s="48"/>
      <c r="U1295" s="48"/>
      <c r="V1295" s="48"/>
    </row>
    <row r="1296" spans="18:22" x14ac:dyDescent="0.25">
      <c r="R1296" s="48"/>
      <c r="S1296" s="48"/>
      <c r="T1296" s="48"/>
      <c r="U1296" s="48"/>
      <c r="V1296" s="48"/>
    </row>
    <row r="1297" spans="18:22" x14ac:dyDescent="0.25">
      <c r="R1297" s="48"/>
      <c r="S1297" s="48"/>
      <c r="T1297" s="48"/>
      <c r="U1297" s="48"/>
      <c r="V1297" s="48"/>
    </row>
    <row r="1298" spans="18:22" x14ac:dyDescent="0.25">
      <c r="R1298" s="48"/>
      <c r="S1298" s="48"/>
      <c r="T1298" s="48"/>
      <c r="U1298" s="48"/>
      <c r="V1298" s="48"/>
    </row>
    <row r="1299" spans="18:22" x14ac:dyDescent="0.25">
      <c r="R1299" s="48"/>
      <c r="S1299" s="48"/>
      <c r="T1299" s="48"/>
      <c r="U1299" s="48"/>
      <c r="V1299" s="48"/>
    </row>
    <row r="1300" spans="18:22" x14ac:dyDescent="0.25">
      <c r="R1300" s="48"/>
      <c r="S1300" s="48"/>
      <c r="T1300" s="48"/>
      <c r="U1300" s="48"/>
      <c r="V1300" s="48"/>
    </row>
    <row r="1301" spans="18:22" x14ac:dyDescent="0.25">
      <c r="R1301" s="48"/>
      <c r="S1301" s="48"/>
      <c r="T1301" s="48"/>
      <c r="U1301" s="48"/>
      <c r="V1301" s="48"/>
    </row>
    <row r="1302" spans="18:22" x14ac:dyDescent="0.25">
      <c r="R1302" s="48"/>
      <c r="S1302" s="48"/>
      <c r="T1302" s="48"/>
      <c r="U1302" s="48"/>
      <c r="V1302" s="48"/>
    </row>
    <row r="1303" spans="18:22" x14ac:dyDescent="0.25">
      <c r="R1303" s="48"/>
      <c r="S1303" s="48"/>
      <c r="T1303" s="48"/>
      <c r="U1303" s="48"/>
      <c r="V1303" s="48"/>
    </row>
    <row r="1304" spans="18:22" x14ac:dyDescent="0.25">
      <c r="R1304" s="48"/>
      <c r="S1304" s="48"/>
      <c r="T1304" s="48"/>
      <c r="U1304" s="48"/>
      <c r="V1304" s="48"/>
    </row>
    <row r="1305" spans="18:22" x14ac:dyDescent="0.25">
      <c r="R1305" s="48"/>
      <c r="S1305" s="48"/>
      <c r="T1305" s="48"/>
      <c r="U1305" s="48"/>
      <c r="V1305" s="48"/>
    </row>
    <row r="1306" spans="18:22" x14ac:dyDescent="0.25">
      <c r="R1306" s="48"/>
      <c r="S1306" s="48"/>
      <c r="T1306" s="48"/>
      <c r="U1306" s="48"/>
      <c r="V1306" s="48"/>
    </row>
    <row r="1307" spans="18:22" x14ac:dyDescent="0.25">
      <c r="R1307" s="48"/>
      <c r="S1307" s="48"/>
      <c r="T1307" s="48"/>
      <c r="U1307" s="48"/>
      <c r="V1307" s="48"/>
    </row>
    <row r="1308" spans="18:22" x14ac:dyDescent="0.25">
      <c r="R1308" s="48"/>
      <c r="S1308" s="48"/>
      <c r="T1308" s="48"/>
      <c r="U1308" s="48"/>
      <c r="V1308" s="48"/>
    </row>
    <row r="1309" spans="18:22" x14ac:dyDescent="0.25">
      <c r="R1309" s="48"/>
      <c r="S1309" s="48"/>
      <c r="T1309" s="48"/>
      <c r="U1309" s="48"/>
      <c r="V1309" s="48"/>
    </row>
    <row r="1310" spans="18:22" x14ac:dyDescent="0.25">
      <c r="R1310" s="48"/>
      <c r="S1310" s="48"/>
      <c r="T1310" s="48"/>
      <c r="U1310" s="48"/>
      <c r="V1310" s="48"/>
    </row>
    <row r="1311" spans="18:22" x14ac:dyDescent="0.25">
      <c r="R1311" s="48"/>
      <c r="S1311" s="48"/>
      <c r="T1311" s="48"/>
      <c r="U1311" s="48"/>
      <c r="V1311" s="48"/>
    </row>
    <row r="1312" spans="18:22" x14ac:dyDescent="0.25">
      <c r="R1312" s="48"/>
      <c r="S1312" s="48"/>
      <c r="T1312" s="48"/>
      <c r="U1312" s="48"/>
      <c r="V1312" s="48"/>
    </row>
    <row r="1313" spans="18:22" x14ac:dyDescent="0.25">
      <c r="R1313" s="48"/>
      <c r="S1313" s="48"/>
      <c r="T1313" s="48"/>
      <c r="U1313" s="48"/>
      <c r="V1313" s="48"/>
    </row>
    <row r="1314" spans="18:22" x14ac:dyDescent="0.25">
      <c r="R1314" s="48"/>
      <c r="S1314" s="48"/>
      <c r="T1314" s="48"/>
      <c r="U1314" s="48"/>
      <c r="V1314" s="48"/>
    </row>
    <row r="1315" spans="18:22" x14ac:dyDescent="0.25">
      <c r="R1315" s="48"/>
      <c r="S1315" s="48"/>
      <c r="T1315" s="48"/>
      <c r="U1315" s="48"/>
      <c r="V1315" s="48"/>
    </row>
    <row r="1316" spans="18:22" x14ac:dyDescent="0.25">
      <c r="R1316" s="48"/>
      <c r="S1316" s="48"/>
      <c r="T1316" s="48"/>
      <c r="U1316" s="48"/>
      <c r="V1316" s="48"/>
    </row>
    <row r="1317" spans="18:22" x14ac:dyDescent="0.25">
      <c r="R1317" s="48"/>
      <c r="S1317" s="48"/>
      <c r="T1317" s="48"/>
      <c r="U1317" s="48"/>
      <c r="V1317" s="48"/>
    </row>
    <row r="1318" spans="18:22" x14ac:dyDescent="0.25">
      <c r="R1318" s="48"/>
      <c r="S1318" s="48"/>
      <c r="T1318" s="48"/>
      <c r="U1318" s="48"/>
      <c r="V1318" s="48"/>
    </row>
    <row r="1319" spans="18:22" x14ac:dyDescent="0.25">
      <c r="R1319" s="48"/>
      <c r="S1319" s="48"/>
      <c r="T1319" s="48"/>
      <c r="U1319" s="48"/>
      <c r="V1319" s="48"/>
    </row>
    <row r="1320" spans="18:22" x14ac:dyDescent="0.25">
      <c r="R1320" s="48"/>
      <c r="S1320" s="48"/>
      <c r="T1320" s="48"/>
      <c r="U1320" s="48"/>
      <c r="V1320" s="48"/>
    </row>
    <row r="1321" spans="18:22" x14ac:dyDescent="0.25">
      <c r="R1321" s="48"/>
      <c r="S1321" s="48"/>
      <c r="T1321" s="48"/>
      <c r="U1321" s="48"/>
      <c r="V1321" s="48"/>
    </row>
    <row r="1322" spans="18:22" x14ac:dyDescent="0.25">
      <c r="R1322" s="48"/>
      <c r="S1322" s="48"/>
      <c r="T1322" s="48"/>
      <c r="U1322" s="48"/>
      <c r="V1322" s="48"/>
    </row>
    <row r="1323" spans="18:22" x14ac:dyDescent="0.25">
      <c r="R1323" s="48"/>
      <c r="S1323" s="48"/>
      <c r="T1323" s="48"/>
      <c r="U1323" s="48"/>
      <c r="V1323" s="48"/>
    </row>
    <row r="1324" spans="18:22" x14ac:dyDescent="0.25">
      <c r="R1324" s="48"/>
      <c r="S1324" s="48"/>
      <c r="T1324" s="48"/>
      <c r="U1324" s="48"/>
      <c r="V1324" s="48"/>
    </row>
    <row r="1325" spans="18:22" x14ac:dyDescent="0.25">
      <c r="R1325" s="48"/>
      <c r="S1325" s="48"/>
      <c r="T1325" s="48"/>
      <c r="U1325" s="48"/>
      <c r="V1325" s="48"/>
    </row>
    <row r="1326" spans="18:22" x14ac:dyDescent="0.25">
      <c r="R1326" s="48"/>
      <c r="S1326" s="48"/>
      <c r="T1326" s="48"/>
      <c r="U1326" s="48"/>
      <c r="V1326" s="48"/>
    </row>
    <row r="1327" spans="18:22" x14ac:dyDescent="0.25">
      <c r="R1327" s="48"/>
      <c r="S1327" s="48"/>
      <c r="T1327" s="48"/>
      <c r="U1327" s="48"/>
      <c r="V1327" s="48"/>
    </row>
    <row r="1328" spans="18:22" x14ac:dyDescent="0.25">
      <c r="R1328" s="48"/>
      <c r="S1328" s="48"/>
      <c r="T1328" s="48"/>
      <c r="U1328" s="48"/>
      <c r="V1328" s="48"/>
    </row>
    <row r="1329" spans="18:22" x14ac:dyDescent="0.25">
      <c r="R1329" s="48"/>
      <c r="S1329" s="48"/>
      <c r="T1329" s="48"/>
      <c r="U1329" s="48"/>
      <c r="V1329" s="48"/>
    </row>
    <row r="1330" spans="18:22" x14ac:dyDescent="0.25">
      <c r="R1330" s="48"/>
      <c r="S1330" s="48"/>
      <c r="T1330" s="48"/>
      <c r="U1330" s="48"/>
      <c r="V1330" s="48"/>
    </row>
    <row r="1331" spans="18:22" x14ac:dyDescent="0.25">
      <c r="R1331" s="48"/>
      <c r="S1331" s="48"/>
      <c r="T1331" s="48"/>
      <c r="U1331" s="48"/>
      <c r="V1331" s="48"/>
    </row>
    <row r="1332" spans="18:22" x14ac:dyDescent="0.25">
      <c r="R1332" s="48"/>
      <c r="S1332" s="48"/>
      <c r="T1332" s="48"/>
      <c r="U1332" s="48"/>
      <c r="V1332" s="48"/>
    </row>
    <row r="1333" spans="18:22" x14ac:dyDescent="0.25">
      <c r="R1333" s="48"/>
      <c r="S1333" s="48"/>
      <c r="T1333" s="48"/>
      <c r="U1333" s="48"/>
      <c r="V1333" s="48"/>
    </row>
    <row r="1334" spans="18:22" x14ac:dyDescent="0.25">
      <c r="R1334" s="48"/>
      <c r="S1334" s="48"/>
      <c r="T1334" s="48"/>
      <c r="U1334" s="48"/>
      <c r="V1334" s="48"/>
    </row>
    <row r="1335" spans="18:22" x14ac:dyDescent="0.25">
      <c r="R1335" s="48"/>
      <c r="S1335" s="48"/>
      <c r="T1335" s="48"/>
      <c r="U1335" s="48"/>
      <c r="V1335" s="48"/>
    </row>
    <row r="1336" spans="18:22" x14ac:dyDescent="0.25">
      <c r="R1336" s="48"/>
      <c r="S1336" s="48"/>
      <c r="T1336" s="48"/>
      <c r="U1336" s="48"/>
      <c r="V1336" s="48"/>
    </row>
    <row r="1337" spans="18:22" x14ac:dyDescent="0.25">
      <c r="R1337" s="48"/>
      <c r="S1337" s="48"/>
      <c r="T1337" s="48"/>
      <c r="U1337" s="48"/>
      <c r="V1337" s="48"/>
    </row>
    <row r="1338" spans="18:22" x14ac:dyDescent="0.25">
      <c r="R1338" s="48"/>
      <c r="S1338" s="48"/>
      <c r="T1338" s="48"/>
      <c r="U1338" s="48"/>
      <c r="V1338" s="48"/>
    </row>
    <row r="1339" spans="18:22" x14ac:dyDescent="0.25">
      <c r="R1339" s="48"/>
      <c r="S1339" s="48"/>
      <c r="T1339" s="48"/>
      <c r="U1339" s="48"/>
      <c r="V1339" s="48"/>
    </row>
    <row r="1340" spans="18:22" x14ac:dyDescent="0.25">
      <c r="R1340" s="48"/>
      <c r="S1340" s="48"/>
      <c r="T1340" s="48"/>
      <c r="U1340" s="48"/>
      <c r="V1340" s="48"/>
    </row>
    <row r="1341" spans="18:22" x14ac:dyDescent="0.25">
      <c r="R1341" s="48"/>
      <c r="S1341" s="48"/>
      <c r="T1341" s="48"/>
      <c r="U1341" s="48"/>
      <c r="V1341" s="48"/>
    </row>
    <row r="1342" spans="18:22" x14ac:dyDescent="0.25">
      <c r="R1342" s="48"/>
      <c r="S1342" s="48"/>
      <c r="T1342" s="48"/>
      <c r="U1342" s="48"/>
      <c r="V1342" s="48"/>
    </row>
    <row r="1343" spans="18:22" x14ac:dyDescent="0.25">
      <c r="R1343" s="48"/>
      <c r="S1343" s="48"/>
      <c r="T1343" s="48"/>
      <c r="U1343" s="48"/>
      <c r="V1343" s="48"/>
    </row>
    <row r="1344" spans="18:22" x14ac:dyDescent="0.25">
      <c r="R1344" s="48"/>
      <c r="S1344" s="48"/>
      <c r="T1344" s="48"/>
      <c r="U1344" s="48"/>
      <c r="V1344" s="48"/>
    </row>
    <row r="1345" spans="18:22" x14ac:dyDescent="0.25">
      <c r="R1345" s="48"/>
      <c r="S1345" s="48"/>
      <c r="T1345" s="48"/>
      <c r="U1345" s="48"/>
      <c r="V1345" s="48"/>
    </row>
    <row r="1346" spans="18:22" x14ac:dyDescent="0.25">
      <c r="R1346" s="48"/>
      <c r="S1346" s="48"/>
      <c r="T1346" s="48"/>
      <c r="U1346" s="48"/>
      <c r="V1346" s="48"/>
    </row>
    <row r="1347" spans="18:22" x14ac:dyDescent="0.25">
      <c r="R1347" s="48"/>
      <c r="S1347" s="48"/>
      <c r="T1347" s="48"/>
      <c r="U1347" s="48"/>
      <c r="V1347" s="48"/>
    </row>
    <row r="1348" spans="18:22" x14ac:dyDescent="0.25">
      <c r="R1348" s="48"/>
      <c r="S1348" s="48"/>
      <c r="T1348" s="48"/>
      <c r="U1348" s="48"/>
      <c r="V1348" s="48"/>
    </row>
    <row r="1349" spans="18:22" x14ac:dyDescent="0.25">
      <c r="R1349" s="48"/>
      <c r="S1349" s="48"/>
      <c r="T1349" s="48"/>
      <c r="U1349" s="48"/>
      <c r="V1349" s="48"/>
    </row>
    <row r="1350" spans="18:22" x14ac:dyDescent="0.25">
      <c r="R1350" s="48"/>
      <c r="S1350" s="48"/>
      <c r="T1350" s="48"/>
      <c r="U1350" s="48"/>
      <c r="V1350" s="48"/>
    </row>
    <row r="1351" spans="18:22" x14ac:dyDescent="0.25">
      <c r="R1351" s="48"/>
      <c r="S1351" s="48"/>
      <c r="T1351" s="48"/>
      <c r="U1351" s="48"/>
      <c r="V1351" s="48"/>
    </row>
    <row r="1352" spans="18:22" x14ac:dyDescent="0.25">
      <c r="R1352" s="48"/>
      <c r="S1352" s="48"/>
      <c r="T1352" s="48"/>
      <c r="U1352" s="48"/>
      <c r="V1352" s="48"/>
    </row>
    <row r="1353" spans="18:22" x14ac:dyDescent="0.25">
      <c r="R1353" s="48"/>
      <c r="S1353" s="48"/>
      <c r="T1353" s="48"/>
      <c r="U1353" s="48"/>
      <c r="V1353" s="48"/>
    </row>
    <row r="1354" spans="18:22" x14ac:dyDescent="0.25">
      <c r="R1354" s="48"/>
      <c r="S1354" s="48"/>
      <c r="T1354" s="48"/>
      <c r="U1354" s="48"/>
      <c r="V1354" s="48"/>
    </row>
    <row r="1355" spans="18:22" x14ac:dyDescent="0.25">
      <c r="R1355" s="48"/>
      <c r="S1355" s="48"/>
      <c r="T1355" s="48"/>
      <c r="U1355" s="48"/>
      <c r="V1355" s="48"/>
    </row>
    <row r="1356" spans="18:22" x14ac:dyDescent="0.25">
      <c r="R1356" s="48"/>
      <c r="S1356" s="48"/>
      <c r="T1356" s="48"/>
      <c r="U1356" s="48"/>
      <c r="V1356" s="48"/>
    </row>
    <row r="1357" spans="18:22" x14ac:dyDescent="0.25">
      <c r="R1357" s="48"/>
      <c r="S1357" s="48"/>
      <c r="T1357" s="48"/>
      <c r="U1357" s="48"/>
      <c r="V1357" s="48"/>
    </row>
    <row r="1358" spans="18:22" x14ac:dyDescent="0.25">
      <c r="R1358" s="48"/>
      <c r="S1358" s="48"/>
      <c r="T1358" s="48"/>
      <c r="U1358" s="48"/>
      <c r="V1358" s="48"/>
    </row>
    <row r="1359" spans="18:22" x14ac:dyDescent="0.25">
      <c r="R1359" s="48"/>
      <c r="S1359" s="48"/>
      <c r="T1359" s="48"/>
      <c r="U1359" s="48"/>
      <c r="V1359" s="48"/>
    </row>
    <row r="1360" spans="18:22" x14ac:dyDescent="0.25">
      <c r="R1360" s="48"/>
      <c r="S1360" s="48"/>
      <c r="T1360" s="48"/>
      <c r="U1360" s="48"/>
      <c r="V1360" s="48"/>
    </row>
    <row r="1361" spans="18:22" x14ac:dyDescent="0.25">
      <c r="R1361" s="48"/>
      <c r="S1361" s="48"/>
      <c r="T1361" s="48"/>
      <c r="U1361" s="48"/>
      <c r="V1361" s="48"/>
    </row>
    <row r="1362" spans="18:22" x14ac:dyDescent="0.25">
      <c r="R1362" s="48"/>
      <c r="S1362" s="48"/>
      <c r="T1362" s="48"/>
      <c r="U1362" s="48"/>
      <c r="V1362" s="48"/>
    </row>
    <row r="1363" spans="18:22" x14ac:dyDescent="0.25">
      <c r="R1363" s="48"/>
      <c r="S1363" s="48"/>
      <c r="T1363" s="48"/>
      <c r="U1363" s="48"/>
      <c r="V1363" s="48"/>
    </row>
    <row r="1364" spans="18:22" x14ac:dyDescent="0.25">
      <c r="R1364" s="48"/>
      <c r="S1364" s="48"/>
      <c r="T1364" s="48"/>
      <c r="U1364" s="48"/>
      <c r="V1364" s="48"/>
    </row>
    <row r="1365" spans="18:22" x14ac:dyDescent="0.25">
      <c r="R1365" s="48"/>
      <c r="S1365" s="48"/>
      <c r="T1365" s="48"/>
      <c r="U1365" s="48"/>
      <c r="V1365" s="48"/>
    </row>
    <row r="1366" spans="18:22" x14ac:dyDescent="0.25">
      <c r="R1366" s="48"/>
      <c r="S1366" s="48"/>
      <c r="T1366" s="48"/>
      <c r="U1366" s="48"/>
      <c r="V1366" s="48"/>
    </row>
    <row r="1367" spans="18:22" x14ac:dyDescent="0.25">
      <c r="R1367" s="48"/>
      <c r="S1367" s="48"/>
      <c r="T1367" s="48"/>
      <c r="U1367" s="48"/>
      <c r="V1367" s="48"/>
    </row>
    <row r="1368" spans="18:22" x14ac:dyDescent="0.25">
      <c r="R1368" s="48"/>
      <c r="S1368" s="48"/>
      <c r="T1368" s="48"/>
      <c r="U1368" s="48"/>
      <c r="V1368" s="48"/>
    </row>
    <row r="1369" spans="18:22" x14ac:dyDescent="0.25">
      <c r="R1369" s="48"/>
      <c r="S1369" s="48"/>
      <c r="T1369" s="48"/>
      <c r="U1369" s="48"/>
      <c r="V1369" s="48"/>
    </row>
    <row r="1370" spans="18:22" x14ac:dyDescent="0.25">
      <c r="R1370" s="48"/>
      <c r="S1370" s="48"/>
      <c r="T1370" s="48"/>
      <c r="U1370" s="48"/>
      <c r="V1370" s="48"/>
    </row>
    <row r="1371" spans="18:22" x14ac:dyDescent="0.25">
      <c r="R1371" s="48"/>
      <c r="S1371" s="48"/>
      <c r="T1371" s="48"/>
      <c r="U1371" s="48"/>
      <c r="V1371" s="48"/>
    </row>
    <row r="1372" spans="18:22" x14ac:dyDescent="0.25">
      <c r="R1372" s="48"/>
      <c r="S1372" s="48"/>
      <c r="T1372" s="48"/>
      <c r="U1372" s="48"/>
      <c r="V1372" s="48"/>
    </row>
    <row r="1373" spans="18:22" x14ac:dyDescent="0.25">
      <c r="R1373" s="48"/>
      <c r="S1373" s="48"/>
      <c r="T1373" s="48"/>
      <c r="U1373" s="48"/>
      <c r="V1373" s="48"/>
    </row>
    <row r="1374" spans="18:22" x14ac:dyDescent="0.25">
      <c r="R1374" s="48"/>
      <c r="S1374" s="48"/>
      <c r="T1374" s="48"/>
      <c r="U1374" s="48"/>
      <c r="V1374" s="48"/>
    </row>
    <row r="1375" spans="18:22" x14ac:dyDescent="0.25">
      <c r="R1375" s="48"/>
      <c r="S1375" s="48"/>
      <c r="T1375" s="48"/>
      <c r="U1375" s="48"/>
      <c r="V1375" s="48"/>
    </row>
    <row r="1376" spans="18:22" x14ac:dyDescent="0.25">
      <c r="R1376" s="48"/>
      <c r="S1376" s="48"/>
      <c r="T1376" s="48"/>
      <c r="U1376" s="48"/>
      <c r="V1376" s="48"/>
    </row>
    <row r="1377" spans="18:22" x14ac:dyDescent="0.25">
      <c r="R1377" s="48"/>
      <c r="S1377" s="48"/>
      <c r="T1377" s="48"/>
      <c r="U1377" s="48"/>
      <c r="V1377" s="48"/>
    </row>
    <row r="1378" spans="18:22" x14ac:dyDescent="0.25">
      <c r="R1378" s="48"/>
      <c r="S1378" s="48"/>
      <c r="T1378" s="48"/>
      <c r="U1378" s="48"/>
      <c r="V1378" s="48"/>
    </row>
    <row r="1379" spans="18:22" x14ac:dyDescent="0.25">
      <c r="R1379" s="48"/>
      <c r="S1379" s="48"/>
      <c r="T1379" s="48"/>
      <c r="U1379" s="48"/>
      <c r="V1379" s="48"/>
    </row>
    <row r="1380" spans="18:22" x14ac:dyDescent="0.25">
      <c r="R1380" s="48"/>
      <c r="S1380" s="48"/>
      <c r="T1380" s="48"/>
      <c r="U1380" s="48"/>
      <c r="V1380" s="48"/>
    </row>
    <row r="1381" spans="18:22" x14ac:dyDescent="0.25">
      <c r="R1381" s="48"/>
      <c r="S1381" s="48"/>
      <c r="T1381" s="48"/>
      <c r="U1381" s="48"/>
      <c r="V1381" s="48"/>
    </row>
    <row r="1382" spans="18:22" x14ac:dyDescent="0.25">
      <c r="R1382" s="48"/>
      <c r="S1382" s="48"/>
      <c r="T1382" s="48"/>
      <c r="U1382" s="48"/>
      <c r="V1382" s="48"/>
    </row>
    <row r="1383" spans="18:22" x14ac:dyDescent="0.25">
      <c r="R1383" s="48"/>
      <c r="S1383" s="48"/>
      <c r="T1383" s="48"/>
      <c r="U1383" s="48"/>
      <c r="V1383" s="48"/>
    </row>
    <row r="1384" spans="18:22" x14ac:dyDescent="0.25">
      <c r="R1384" s="48"/>
      <c r="S1384" s="48"/>
      <c r="T1384" s="48"/>
      <c r="U1384" s="48"/>
      <c r="V1384" s="48"/>
    </row>
    <row r="1385" spans="18:22" x14ac:dyDescent="0.25">
      <c r="R1385" s="48"/>
      <c r="S1385" s="48"/>
      <c r="T1385" s="48"/>
      <c r="U1385" s="48"/>
      <c r="V1385" s="48"/>
    </row>
    <row r="1386" spans="18:22" x14ac:dyDescent="0.25">
      <c r="R1386" s="48"/>
      <c r="S1386" s="48"/>
      <c r="T1386" s="48"/>
      <c r="U1386" s="48"/>
      <c r="V1386" s="48"/>
    </row>
    <row r="1387" spans="18:22" x14ac:dyDescent="0.25">
      <c r="R1387" s="48"/>
      <c r="S1387" s="48"/>
      <c r="T1387" s="48"/>
      <c r="U1387" s="48"/>
      <c r="V1387" s="48"/>
    </row>
    <row r="1388" spans="18:22" x14ac:dyDescent="0.25">
      <c r="R1388" s="48"/>
      <c r="S1388" s="48"/>
      <c r="T1388" s="48"/>
      <c r="U1388" s="48"/>
      <c r="V1388" s="48"/>
    </row>
    <row r="1389" spans="18:22" x14ac:dyDescent="0.25">
      <c r="R1389" s="48"/>
      <c r="S1389" s="48"/>
      <c r="T1389" s="48"/>
      <c r="U1389" s="48"/>
      <c r="V1389" s="48"/>
    </row>
    <row r="1390" spans="18:22" x14ac:dyDescent="0.25">
      <c r="R1390" s="48"/>
      <c r="S1390" s="48"/>
      <c r="T1390" s="48"/>
      <c r="U1390" s="48"/>
      <c r="V1390" s="48"/>
    </row>
    <row r="1391" spans="18:22" x14ac:dyDescent="0.25">
      <c r="R1391" s="48"/>
      <c r="S1391" s="48"/>
      <c r="T1391" s="48"/>
      <c r="U1391" s="48"/>
      <c r="V1391" s="48"/>
    </row>
    <row r="1392" spans="18:22" x14ac:dyDescent="0.25">
      <c r="R1392" s="48"/>
      <c r="S1392" s="48"/>
      <c r="T1392" s="48"/>
      <c r="U1392" s="48"/>
      <c r="V1392" s="48"/>
    </row>
    <row r="1393" spans="18:22" x14ac:dyDescent="0.25">
      <c r="R1393" s="48"/>
      <c r="S1393" s="48"/>
      <c r="T1393" s="48"/>
      <c r="U1393" s="48"/>
      <c r="V1393" s="48"/>
    </row>
    <row r="1394" spans="18:22" x14ac:dyDescent="0.25">
      <c r="R1394" s="48"/>
      <c r="S1394" s="48"/>
      <c r="T1394" s="48"/>
      <c r="U1394" s="48"/>
      <c r="V1394" s="48"/>
    </row>
    <row r="1395" spans="18:22" x14ac:dyDescent="0.25">
      <c r="R1395" s="48"/>
      <c r="S1395" s="48"/>
      <c r="T1395" s="48"/>
      <c r="U1395" s="48"/>
      <c r="V1395" s="48"/>
    </row>
    <row r="1396" spans="18:22" x14ac:dyDescent="0.25">
      <c r="R1396" s="48"/>
      <c r="S1396" s="48"/>
      <c r="T1396" s="48"/>
      <c r="U1396" s="48"/>
      <c r="V1396" s="48"/>
    </row>
    <row r="1397" spans="18:22" x14ac:dyDescent="0.25">
      <c r="R1397" s="48"/>
      <c r="S1397" s="48"/>
      <c r="T1397" s="48"/>
      <c r="U1397" s="48"/>
      <c r="V1397" s="48"/>
    </row>
    <row r="1398" spans="18:22" x14ac:dyDescent="0.25">
      <c r="R1398" s="48"/>
      <c r="S1398" s="48"/>
      <c r="T1398" s="48"/>
      <c r="U1398" s="48"/>
      <c r="V1398" s="48"/>
    </row>
    <row r="1399" spans="18:22" x14ac:dyDescent="0.25">
      <c r="R1399" s="48"/>
      <c r="S1399" s="48"/>
      <c r="T1399" s="48"/>
      <c r="U1399" s="48"/>
      <c r="V1399" s="48"/>
    </row>
    <row r="1400" spans="18:22" x14ac:dyDescent="0.25">
      <c r="R1400" s="48"/>
      <c r="S1400" s="48"/>
      <c r="T1400" s="48"/>
      <c r="U1400" s="48"/>
      <c r="V1400" s="48"/>
    </row>
    <row r="1401" spans="18:22" x14ac:dyDescent="0.25">
      <c r="R1401" s="48"/>
      <c r="S1401" s="48"/>
      <c r="T1401" s="48"/>
      <c r="U1401" s="48"/>
      <c r="V1401" s="48"/>
    </row>
    <row r="1402" spans="18:22" x14ac:dyDescent="0.25">
      <c r="R1402" s="48"/>
      <c r="S1402" s="48"/>
      <c r="T1402" s="48"/>
      <c r="U1402" s="48"/>
      <c r="V1402" s="48"/>
    </row>
    <row r="1403" spans="18:22" x14ac:dyDescent="0.25">
      <c r="R1403" s="48"/>
      <c r="S1403" s="48"/>
      <c r="T1403" s="48"/>
      <c r="U1403" s="48"/>
      <c r="V1403" s="48"/>
    </row>
    <row r="1404" spans="18:22" x14ac:dyDescent="0.25">
      <c r="R1404" s="48"/>
      <c r="S1404" s="48"/>
      <c r="T1404" s="48"/>
      <c r="U1404" s="48"/>
      <c r="V1404" s="48"/>
    </row>
    <row r="1405" spans="18:22" x14ac:dyDescent="0.25">
      <c r="R1405" s="48"/>
      <c r="S1405" s="48"/>
      <c r="T1405" s="48"/>
      <c r="U1405" s="48"/>
      <c r="V1405" s="48"/>
    </row>
    <row r="1406" spans="18:22" x14ac:dyDescent="0.25">
      <c r="R1406" s="48"/>
      <c r="S1406" s="48"/>
      <c r="T1406" s="48"/>
      <c r="U1406" s="48"/>
      <c r="V1406" s="48"/>
    </row>
    <row r="1407" spans="18:22" x14ac:dyDescent="0.25">
      <c r="R1407" s="48"/>
      <c r="S1407" s="48"/>
      <c r="T1407" s="48"/>
      <c r="U1407" s="48"/>
      <c r="V1407" s="48"/>
    </row>
    <row r="1408" spans="18:22" x14ac:dyDescent="0.25">
      <c r="R1408" s="48"/>
      <c r="S1408" s="48"/>
      <c r="T1408" s="48"/>
      <c r="U1408" s="48"/>
      <c r="V1408" s="48"/>
    </row>
    <row r="1409" spans="18:22" x14ac:dyDescent="0.25">
      <c r="R1409" s="48"/>
      <c r="S1409" s="48"/>
      <c r="T1409" s="48"/>
      <c r="U1409" s="48"/>
      <c r="V1409" s="48"/>
    </row>
    <row r="1410" spans="18:22" x14ac:dyDescent="0.25">
      <c r="R1410" s="48"/>
      <c r="S1410" s="48"/>
      <c r="T1410" s="48"/>
      <c r="U1410" s="48"/>
      <c r="V1410" s="48"/>
    </row>
    <row r="1411" spans="18:22" x14ac:dyDescent="0.25">
      <c r="R1411" s="48"/>
      <c r="S1411" s="48"/>
      <c r="T1411" s="48"/>
      <c r="U1411" s="48"/>
      <c r="V1411" s="48"/>
    </row>
    <row r="1412" spans="18:22" x14ac:dyDescent="0.25">
      <c r="R1412" s="48"/>
      <c r="S1412" s="48"/>
      <c r="T1412" s="48"/>
      <c r="U1412" s="48"/>
      <c r="V1412" s="48"/>
    </row>
    <row r="1413" spans="18:22" x14ac:dyDescent="0.25">
      <c r="R1413" s="48"/>
      <c r="S1413" s="48"/>
      <c r="T1413" s="48"/>
      <c r="U1413" s="48"/>
      <c r="V1413" s="48"/>
    </row>
    <row r="1414" spans="18:22" x14ac:dyDescent="0.25">
      <c r="R1414" s="48"/>
      <c r="S1414" s="48"/>
      <c r="T1414" s="48"/>
      <c r="U1414" s="48"/>
      <c r="V1414" s="48"/>
    </row>
    <row r="1415" spans="18:22" x14ac:dyDescent="0.25">
      <c r="R1415" s="48"/>
      <c r="S1415" s="48"/>
      <c r="T1415" s="48"/>
      <c r="U1415" s="48"/>
      <c r="V1415" s="48"/>
    </row>
    <row r="1416" spans="18:22" x14ac:dyDescent="0.25">
      <c r="R1416" s="48"/>
      <c r="S1416" s="48"/>
      <c r="T1416" s="48"/>
      <c r="U1416" s="48"/>
      <c r="V1416" s="48"/>
    </row>
    <row r="1417" spans="18:22" x14ac:dyDescent="0.25">
      <c r="R1417" s="48"/>
      <c r="S1417" s="48"/>
      <c r="T1417" s="48"/>
      <c r="U1417" s="48"/>
      <c r="V1417" s="48"/>
    </row>
    <row r="1418" spans="18:22" x14ac:dyDescent="0.25">
      <c r="R1418" s="48"/>
      <c r="S1418" s="48"/>
      <c r="T1418" s="48"/>
      <c r="U1418" s="48"/>
      <c r="V1418" s="48"/>
    </row>
    <row r="1419" spans="18:22" x14ac:dyDescent="0.25">
      <c r="R1419" s="48"/>
      <c r="S1419" s="48"/>
      <c r="T1419" s="48"/>
      <c r="U1419" s="48"/>
      <c r="V1419" s="48"/>
    </row>
    <row r="1420" spans="18:22" x14ac:dyDescent="0.25">
      <c r="R1420" s="48"/>
      <c r="S1420" s="48"/>
      <c r="T1420" s="48"/>
      <c r="U1420" s="48"/>
      <c r="V1420" s="48"/>
    </row>
    <row r="1421" spans="18:22" x14ac:dyDescent="0.25">
      <c r="R1421" s="48"/>
      <c r="S1421" s="48"/>
      <c r="T1421" s="48"/>
      <c r="U1421" s="48"/>
      <c r="V1421" s="48"/>
    </row>
    <row r="1422" spans="18:22" x14ac:dyDescent="0.25">
      <c r="R1422" s="48"/>
      <c r="S1422" s="48"/>
      <c r="T1422" s="48"/>
      <c r="U1422" s="48"/>
      <c r="V1422" s="48"/>
    </row>
    <row r="1423" spans="18:22" x14ac:dyDescent="0.25">
      <c r="R1423" s="48"/>
      <c r="S1423" s="48"/>
      <c r="T1423" s="48"/>
      <c r="U1423" s="48"/>
      <c r="V1423" s="48"/>
    </row>
    <row r="1424" spans="18:22" x14ac:dyDescent="0.25">
      <c r="R1424" s="48"/>
      <c r="S1424" s="48"/>
      <c r="T1424" s="48"/>
      <c r="U1424" s="48"/>
      <c r="V1424" s="48"/>
    </row>
    <row r="1425" spans="18:22" x14ac:dyDescent="0.25">
      <c r="R1425" s="48"/>
      <c r="S1425" s="48"/>
      <c r="T1425" s="48"/>
      <c r="U1425" s="48"/>
      <c r="V1425" s="48"/>
    </row>
    <row r="1426" spans="18:22" x14ac:dyDescent="0.25">
      <c r="R1426" s="48"/>
      <c r="S1426" s="48"/>
      <c r="T1426" s="48"/>
      <c r="U1426" s="48"/>
      <c r="V1426" s="48"/>
    </row>
    <row r="1427" spans="18:22" x14ac:dyDescent="0.25">
      <c r="R1427" s="48"/>
      <c r="S1427" s="48"/>
      <c r="T1427" s="48"/>
      <c r="U1427" s="48"/>
      <c r="V1427" s="48"/>
    </row>
    <row r="1428" spans="18:22" x14ac:dyDescent="0.25">
      <c r="R1428" s="48"/>
      <c r="S1428" s="48"/>
      <c r="T1428" s="48"/>
      <c r="U1428" s="48"/>
      <c r="V1428" s="48"/>
    </row>
    <row r="1429" spans="18:22" x14ac:dyDescent="0.25">
      <c r="R1429" s="48"/>
      <c r="S1429" s="48"/>
      <c r="T1429" s="48"/>
      <c r="U1429" s="48"/>
      <c r="V1429" s="48"/>
    </row>
    <row r="1430" spans="18:22" x14ac:dyDescent="0.25">
      <c r="R1430" s="48"/>
      <c r="S1430" s="48"/>
      <c r="T1430" s="48"/>
      <c r="U1430" s="48"/>
      <c r="V1430" s="48"/>
    </row>
    <row r="1431" spans="18:22" x14ac:dyDescent="0.25">
      <c r="R1431" s="48"/>
      <c r="S1431" s="48"/>
      <c r="T1431" s="48"/>
      <c r="U1431" s="48"/>
      <c r="V1431" s="48"/>
    </row>
    <row r="1432" spans="18:22" x14ac:dyDescent="0.25">
      <c r="R1432" s="48"/>
      <c r="S1432" s="48"/>
      <c r="T1432" s="48"/>
      <c r="U1432" s="48"/>
      <c r="V1432" s="48"/>
    </row>
    <row r="1433" spans="18:22" x14ac:dyDescent="0.25">
      <c r="R1433" s="48"/>
      <c r="S1433" s="48"/>
      <c r="T1433" s="48"/>
      <c r="U1433" s="48"/>
      <c r="V1433" s="48"/>
    </row>
    <row r="1434" spans="18:22" x14ac:dyDescent="0.25">
      <c r="R1434" s="48"/>
      <c r="S1434" s="48"/>
      <c r="T1434" s="48"/>
      <c r="U1434" s="48"/>
      <c r="V1434" s="48"/>
    </row>
    <row r="1435" spans="18:22" x14ac:dyDescent="0.25">
      <c r="R1435" s="48"/>
      <c r="S1435" s="48"/>
      <c r="T1435" s="48"/>
      <c r="U1435" s="48"/>
      <c r="V1435" s="48"/>
    </row>
    <row r="1436" spans="18:22" x14ac:dyDescent="0.25">
      <c r="R1436" s="48"/>
      <c r="S1436" s="48"/>
      <c r="T1436" s="48"/>
      <c r="U1436" s="48"/>
      <c r="V1436" s="48"/>
    </row>
    <row r="1437" spans="18:22" x14ac:dyDescent="0.25">
      <c r="R1437" s="48"/>
      <c r="S1437" s="48"/>
      <c r="T1437" s="48"/>
      <c r="U1437" s="48"/>
      <c r="V1437" s="48"/>
    </row>
    <row r="1438" spans="18:22" x14ac:dyDescent="0.25">
      <c r="R1438" s="48"/>
      <c r="S1438" s="48"/>
      <c r="T1438" s="48"/>
      <c r="U1438" s="48"/>
      <c r="V1438" s="48"/>
    </row>
    <row r="1439" spans="18:22" x14ac:dyDescent="0.25">
      <c r="R1439" s="48"/>
      <c r="S1439" s="48"/>
      <c r="T1439" s="48"/>
      <c r="U1439" s="48"/>
      <c r="V1439" s="48"/>
    </row>
    <row r="1440" spans="18:22" x14ac:dyDescent="0.25">
      <c r="R1440" s="48"/>
      <c r="S1440" s="48"/>
      <c r="T1440" s="48"/>
      <c r="U1440" s="48"/>
      <c r="V1440" s="48"/>
    </row>
    <row r="1441" spans="18:22" x14ac:dyDescent="0.25">
      <c r="R1441" s="48"/>
      <c r="S1441" s="48"/>
      <c r="T1441" s="48"/>
      <c r="U1441" s="48"/>
      <c r="V1441" s="48"/>
    </row>
    <row r="1442" spans="18:22" x14ac:dyDescent="0.25">
      <c r="R1442" s="48"/>
      <c r="S1442" s="48"/>
      <c r="T1442" s="48"/>
      <c r="U1442" s="48"/>
      <c r="V1442" s="48"/>
    </row>
  </sheetData>
  <autoFilter ref="A11:DM1187"/>
  <mergeCells count="16">
    <mergeCell ref="T8:T10"/>
    <mergeCell ref="U8:U10"/>
    <mergeCell ref="V8:V10"/>
    <mergeCell ref="B1:S1"/>
    <mergeCell ref="T1:V1"/>
    <mergeCell ref="E3:J3"/>
    <mergeCell ref="B4:J4"/>
    <mergeCell ref="A7:L10"/>
    <mergeCell ref="O7:O10"/>
    <mergeCell ref="P7:P10"/>
    <mergeCell ref="R7:R10"/>
    <mergeCell ref="S7:V7"/>
    <mergeCell ref="S8:S10"/>
    <mergeCell ref="Q7:Q10"/>
    <mergeCell ref="M7:M10"/>
    <mergeCell ref="N7:N10"/>
  </mergeCells>
  <pageMargins left="0.19685039370078741" right="0.19685039370078741" top="0.19685039370078741" bottom="0.19685039370078741" header="0" footer="0"/>
  <pageSetup paperSize="9" scale="27"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4"/>
  <dimension ref="B2:J22"/>
  <sheetViews>
    <sheetView view="pageBreakPreview" zoomScale="80" zoomScaleNormal="100" zoomScaleSheetLayoutView="80" workbookViewId="0">
      <selection activeCell="Z105" sqref="Z105"/>
    </sheetView>
  </sheetViews>
  <sheetFormatPr defaultRowHeight="13.8" x14ac:dyDescent="0.25"/>
  <cols>
    <col min="1" max="1" width="5.109375" customWidth="1"/>
    <col min="2" max="2" width="42.44140625" customWidth="1"/>
    <col min="3" max="6" width="17.5546875" customWidth="1"/>
    <col min="7" max="7" width="11.33203125" customWidth="1"/>
    <col min="8" max="8" width="15.6640625" customWidth="1"/>
  </cols>
  <sheetData>
    <row r="2" spans="2:10" ht="29.25" customHeight="1" x14ac:dyDescent="0.25">
      <c r="F2" s="957" t="s">
        <v>681</v>
      </c>
      <c r="G2" s="957"/>
      <c r="H2" s="957"/>
    </row>
    <row r="3" spans="2:10" x14ac:dyDescent="0.25">
      <c r="F3" s="153" t="s">
        <v>11</v>
      </c>
      <c r="G3" s="372" t="str">
        <f>Форма!C33</f>
        <v>« 24 » октября 2024 г.</v>
      </c>
    </row>
    <row r="4" spans="2:10" x14ac:dyDescent="0.25">
      <c r="B4" s="5" t="s">
        <v>25</v>
      </c>
      <c r="C4" s="906" t="str">
        <f>Форма!C42</f>
        <v>Муниципальное  автономное дошкольное образовательное</v>
      </c>
      <c r="D4" s="906"/>
      <c r="E4" s="906"/>
      <c r="F4" s="906"/>
      <c r="G4" s="906"/>
      <c r="H4" s="906"/>
      <c r="I4" s="33"/>
      <c r="J4" s="152"/>
    </row>
    <row r="5" spans="2:10" x14ac:dyDescent="0.25">
      <c r="B5" s="906" t="str">
        <f>Форма!B43</f>
        <v xml:space="preserve">                 учреждение № 169 "Детский сад комбинированного вида"</v>
      </c>
      <c r="C5" s="906"/>
      <c r="D5" s="906"/>
      <c r="E5" s="906"/>
      <c r="F5" s="906"/>
      <c r="G5" s="906"/>
      <c r="H5" s="906"/>
      <c r="I5" s="153"/>
      <c r="J5" s="152"/>
    </row>
    <row r="6" spans="2:10" x14ac:dyDescent="0.25">
      <c r="B6" s="963" t="s">
        <v>682</v>
      </c>
      <c r="C6" s="963"/>
      <c r="D6" s="963"/>
      <c r="E6" s="963"/>
      <c r="F6" s="963"/>
    </row>
    <row r="7" spans="2:10" x14ac:dyDescent="0.25">
      <c r="B7" s="963" t="str">
        <f>Форма!B28</f>
        <v>на 2024 г. и плановый период 2025 и 2026 годов</v>
      </c>
      <c r="C7" s="963"/>
      <c r="D7" s="963"/>
      <c r="E7" s="963"/>
      <c r="F7" s="963"/>
    </row>
    <row r="9" spans="2:10" ht="15.6" x14ac:dyDescent="0.3">
      <c r="C9" s="187" t="s">
        <v>27</v>
      </c>
    </row>
    <row r="10" spans="2:10" x14ac:dyDescent="0.25">
      <c r="B10" s="960" t="s">
        <v>29</v>
      </c>
      <c r="C10" s="861" t="s">
        <v>33</v>
      </c>
      <c r="D10" s="861"/>
      <c r="E10" s="861"/>
      <c r="F10" s="861"/>
    </row>
    <row r="11" spans="2:10" ht="25.5" customHeight="1" x14ac:dyDescent="0.25">
      <c r="B11" s="961"/>
      <c r="C11" s="864">
        <f>Форма!R1</f>
        <v>2024</v>
      </c>
      <c r="D11" s="864">
        <f>Форма!R2</f>
        <v>2025</v>
      </c>
      <c r="E11" s="864">
        <f>Форма!R3</f>
        <v>2026</v>
      </c>
      <c r="F11" s="864" t="s">
        <v>34</v>
      </c>
    </row>
    <row r="12" spans="2:10" ht="25.5" customHeight="1" x14ac:dyDescent="0.25">
      <c r="B12" s="962"/>
      <c r="C12" s="865"/>
      <c r="D12" s="865"/>
      <c r="E12" s="865"/>
      <c r="F12" s="865"/>
    </row>
    <row r="13" spans="2:10" x14ac:dyDescent="0.25">
      <c r="B13" s="166">
        <v>1</v>
      </c>
      <c r="C13" s="167">
        <v>2</v>
      </c>
      <c r="D13" s="167">
        <v>3</v>
      </c>
      <c r="E13" s="167">
        <v>4</v>
      </c>
      <c r="F13" s="167">
        <v>4</v>
      </c>
    </row>
    <row r="14" spans="2:10" x14ac:dyDescent="0.25">
      <c r="B14" s="172" t="s">
        <v>683</v>
      </c>
      <c r="C14" s="96">
        <f>SUM(C15:C17)</f>
        <v>0</v>
      </c>
      <c r="D14" s="96">
        <f>SUM(D15:D17)</f>
        <v>0</v>
      </c>
      <c r="E14" s="96">
        <f>SUM(E15:E17)</f>
        <v>0</v>
      </c>
      <c r="F14" s="96">
        <f>SUM(F15:F17)</f>
        <v>0</v>
      </c>
    </row>
    <row r="15" spans="2:10" ht="27.6" x14ac:dyDescent="0.25">
      <c r="B15" s="171" t="s">
        <v>684</v>
      </c>
      <c r="C15" s="96"/>
      <c r="D15" s="96"/>
      <c r="E15" s="96"/>
      <c r="F15" s="96"/>
    </row>
    <row r="16" spans="2:10" x14ac:dyDescent="0.25">
      <c r="B16" s="172"/>
      <c r="C16" s="96"/>
      <c r="D16" s="96"/>
      <c r="E16" s="96"/>
      <c r="F16" s="96"/>
    </row>
    <row r="17" spans="2:6" x14ac:dyDescent="0.25">
      <c r="B17" s="172"/>
      <c r="C17" s="96"/>
      <c r="D17" s="96"/>
      <c r="E17" s="96"/>
      <c r="F17" s="96"/>
    </row>
    <row r="18" spans="2:6" x14ac:dyDescent="0.25">
      <c r="B18" s="172" t="s">
        <v>685</v>
      </c>
      <c r="C18" s="96">
        <f>SUM(C19:C21)</f>
        <v>0</v>
      </c>
      <c r="D18" s="96">
        <f>SUM(D19:D21)</f>
        <v>0</v>
      </c>
      <c r="E18" s="96">
        <f>SUM(E19:E21)</f>
        <v>0</v>
      </c>
      <c r="F18" s="96">
        <f>SUM(F19:F21)</f>
        <v>0</v>
      </c>
    </row>
    <row r="19" spans="2:6" ht="27.6" x14ac:dyDescent="0.25">
      <c r="B19" s="171" t="s">
        <v>684</v>
      </c>
      <c r="C19" s="96"/>
      <c r="D19" s="96"/>
      <c r="E19" s="96"/>
      <c r="F19" s="96"/>
    </row>
    <row r="20" spans="2:6" x14ac:dyDescent="0.25">
      <c r="B20" s="172"/>
      <c r="C20" s="96"/>
      <c r="D20" s="96"/>
      <c r="E20" s="96"/>
      <c r="F20" s="96"/>
    </row>
    <row r="21" spans="2:6" x14ac:dyDescent="0.25">
      <c r="B21" s="172"/>
      <c r="C21" s="96"/>
      <c r="D21" s="96"/>
      <c r="E21" s="96"/>
      <c r="F21" s="96"/>
    </row>
    <row r="22" spans="2:6" x14ac:dyDescent="0.25">
      <c r="B22" s="172" t="s">
        <v>454</v>
      </c>
      <c r="C22" s="96">
        <f>SUM(C14,C18)</f>
        <v>0</v>
      </c>
      <c r="D22" s="96">
        <f>SUM(D14:D18)</f>
        <v>0</v>
      </c>
      <c r="E22" s="96">
        <f>SUM(E14:E18)</f>
        <v>0</v>
      </c>
      <c r="F22" s="96">
        <f>SUM(F14:F18)</f>
        <v>0</v>
      </c>
    </row>
  </sheetData>
  <mergeCells count="11">
    <mergeCell ref="F11:F12"/>
    <mergeCell ref="F2:H2"/>
    <mergeCell ref="C4:H4"/>
    <mergeCell ref="B5:H5"/>
    <mergeCell ref="B6:F6"/>
    <mergeCell ref="B7:F7"/>
    <mergeCell ref="B10:B12"/>
    <mergeCell ref="C10:F10"/>
    <mergeCell ref="C11:C12"/>
    <mergeCell ref="D11:D12"/>
    <mergeCell ref="E11:E12"/>
  </mergeCells>
  <pageMargins left="0.7" right="0.7" top="0.75" bottom="0.75" header="0.3" footer="0.3"/>
  <pageSetup paperSize="9"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AZ391"/>
  <sheetViews>
    <sheetView tabSelected="1" view="pageBreakPreview" zoomScale="70" zoomScaleNormal="90" zoomScaleSheetLayoutView="70" workbookViewId="0">
      <pane xSplit="5" ySplit="4" topLeftCell="F8" activePane="bottomRight" state="frozen"/>
      <selection pane="topRight" activeCell="F1" sqref="F1"/>
      <selection pane="bottomLeft" activeCell="A5" sqref="A5"/>
      <selection pane="bottomRight" activeCell="F151" sqref="F151"/>
    </sheetView>
  </sheetViews>
  <sheetFormatPr defaultRowHeight="13.8" x14ac:dyDescent="0.25"/>
  <cols>
    <col min="1" max="1" width="6.6640625" style="1" customWidth="1"/>
    <col min="2" max="2" width="55.33203125" style="2" customWidth="1"/>
    <col min="3" max="3" width="9.109375" style="1" customWidth="1"/>
    <col min="4" max="4" width="13.33203125" style="1" customWidth="1"/>
    <col min="5" max="5" width="10.88671875" style="1" customWidth="1"/>
    <col min="6" max="6" width="15.88671875" style="1" customWidth="1"/>
    <col min="7" max="7" width="16.5546875" style="1" customWidth="1"/>
    <col min="8" max="8" width="17" style="1" customWidth="1"/>
    <col min="9" max="9" width="12.88671875" style="1" customWidth="1"/>
    <col min="10" max="10" width="16.109375" style="137" customWidth="1"/>
    <col min="11" max="11" width="4.88671875" style="5" customWidth="1"/>
    <col min="12" max="12" width="20" style="679" customWidth="1"/>
    <col min="13" max="13" width="4.88671875" style="4" customWidth="1"/>
    <col min="14" max="17" width="3.44140625" customWidth="1"/>
    <col min="18" max="18" width="8.109375" customWidth="1"/>
    <col min="19" max="19" width="13" customWidth="1"/>
    <col min="20" max="20" width="3.44140625" customWidth="1"/>
    <col min="21" max="21" width="3.88671875" customWidth="1"/>
    <col min="22" max="22" width="3.44140625" customWidth="1"/>
    <col min="23" max="23" width="11.6640625" bestFit="1" customWidth="1"/>
    <col min="24" max="24" width="7.44140625" bestFit="1" customWidth="1"/>
    <col min="25" max="48" width="3.44140625" customWidth="1"/>
    <col min="49" max="49" width="14.44140625" customWidth="1"/>
    <col min="50" max="51" width="16.109375" bestFit="1" customWidth="1"/>
    <col min="52" max="52" width="9.44140625" bestFit="1" customWidth="1"/>
  </cols>
  <sheetData>
    <row r="1" spans="1:49" ht="18" thickBot="1" x14ac:dyDescent="0.35">
      <c r="B1" s="136"/>
      <c r="D1" s="601"/>
      <c r="K1" s="3" t="s">
        <v>0</v>
      </c>
      <c r="L1" s="678" t="s">
        <v>1</v>
      </c>
      <c r="M1" s="33" t="s">
        <v>2</v>
      </c>
      <c r="Q1" s="683" t="s">
        <v>1007</v>
      </c>
      <c r="R1" s="684">
        <v>2024</v>
      </c>
      <c r="S1" s="683" t="s">
        <v>1008</v>
      </c>
      <c r="T1" s="626" t="s">
        <v>905</v>
      </c>
      <c r="U1" s="659" t="s">
        <v>1295</v>
      </c>
      <c r="V1" s="627" t="s">
        <v>906</v>
      </c>
      <c r="W1" s="627" t="s">
        <v>1294</v>
      </c>
      <c r="X1" s="627">
        <v>2024</v>
      </c>
      <c r="Y1" s="630" t="s">
        <v>907</v>
      </c>
      <c r="AA1" s="631" t="s">
        <v>908</v>
      </c>
      <c r="AW1" s="151"/>
    </row>
    <row r="2" spans="1:49" ht="18" thickBot="1" x14ac:dyDescent="0.35">
      <c r="B2" s="136"/>
      <c r="D2" s="601"/>
      <c r="K2" s="657"/>
      <c r="L2" s="678"/>
      <c r="M2" s="33"/>
      <c r="Q2" s="683" t="s">
        <v>1007</v>
      </c>
      <c r="R2" s="684">
        <v>2025</v>
      </c>
      <c r="S2" s="683" t="s">
        <v>1009</v>
      </c>
      <c r="T2" s="660"/>
      <c r="U2" s="661"/>
      <c r="V2" s="660"/>
      <c r="W2" s="629" t="str">
        <f>IF(OR(RIGHT(W1,1)="ь",RIGHT(W1,1)="й"),LEFT(W1,LEN(W1)-1)&amp;"я",IF(RIGHT(W1,1)="т",W1&amp;"а"))</f>
        <v>октября</v>
      </c>
      <c r="X2" s="660"/>
      <c r="Y2" s="660"/>
      <c r="AA2" s="631"/>
      <c r="AW2" s="151"/>
    </row>
    <row r="3" spans="1:49" ht="14.4" thickBot="1" x14ac:dyDescent="0.3">
      <c r="M3" s="33"/>
      <c r="Q3" s="683" t="s">
        <v>1007</v>
      </c>
      <c r="R3" s="684">
        <v>2026</v>
      </c>
      <c r="S3" s="683" t="s">
        <v>1010</v>
      </c>
      <c r="T3" s="628"/>
      <c r="U3" s="628"/>
      <c r="V3" s="628"/>
      <c r="X3" s="628"/>
    </row>
    <row r="4" spans="1:49" x14ac:dyDescent="0.25">
      <c r="K4" s="685" t="s">
        <v>1007</v>
      </c>
      <c r="L4" s="686" t="s">
        <v>1011</v>
      </c>
      <c r="M4" s="687" t="s">
        <v>1012</v>
      </c>
      <c r="N4" s="683" t="s">
        <v>1013</v>
      </c>
      <c r="O4" s="683"/>
    </row>
    <row r="5" spans="1:49" x14ac:dyDescent="0.25">
      <c r="G5" s="846" t="s">
        <v>3</v>
      </c>
      <c r="H5" s="846"/>
      <c r="I5" s="846"/>
      <c r="M5" s="33"/>
    </row>
    <row r="6" spans="1:49" ht="30" customHeight="1" x14ac:dyDescent="0.25">
      <c r="G6" s="890" t="s">
        <v>1268</v>
      </c>
      <c r="H6" s="890"/>
      <c r="I6" s="890"/>
      <c r="J6" s="903" t="s">
        <v>1122</v>
      </c>
      <c r="K6" s="903"/>
      <c r="L6" s="903"/>
      <c r="M6" s="33"/>
    </row>
    <row r="7" spans="1:49" ht="55.5" customHeight="1" x14ac:dyDescent="0.25">
      <c r="G7" s="848" t="s">
        <v>4</v>
      </c>
      <c r="H7" s="848"/>
      <c r="I7" s="848"/>
      <c r="M7" s="33"/>
    </row>
    <row r="8" spans="1:49" ht="15" customHeight="1" x14ac:dyDescent="0.25">
      <c r="G8" s="600"/>
      <c r="H8" s="600"/>
      <c r="I8" s="600"/>
      <c r="M8" s="33"/>
    </row>
    <row r="9" spans="1:49" x14ac:dyDescent="0.25">
      <c r="G9" s="891" t="s">
        <v>1269</v>
      </c>
      <c r="H9" s="891"/>
      <c r="I9" s="891"/>
      <c r="J9" s="904" t="s">
        <v>854</v>
      </c>
      <c r="K9" s="904"/>
      <c r="L9" s="904"/>
      <c r="M9" s="33"/>
    </row>
    <row r="10" spans="1:49" ht="15" customHeight="1" x14ac:dyDescent="0.25">
      <c r="G10" s="849" t="s">
        <v>5</v>
      </c>
      <c r="H10" s="849"/>
      <c r="I10" s="849"/>
      <c r="M10" s="33"/>
    </row>
    <row r="11" spans="1:49" x14ac:dyDescent="0.25">
      <c r="G11" s="565"/>
      <c r="H11" s="565"/>
      <c r="I11" s="565"/>
      <c r="M11" s="33"/>
    </row>
    <row r="12" spans="1:49" x14ac:dyDescent="0.25">
      <c r="G12" s="846" t="s">
        <v>1287</v>
      </c>
      <c r="H12" s="846"/>
      <c r="I12" s="6"/>
      <c r="M12" s="33"/>
    </row>
    <row r="13" spans="1:49" x14ac:dyDescent="0.25">
      <c r="G13" s="564"/>
      <c r="H13" s="564"/>
      <c r="I13" s="6"/>
      <c r="M13" s="33"/>
    </row>
    <row r="14" spans="1:49" x14ac:dyDescent="0.25">
      <c r="B14" s="6"/>
      <c r="C14" s="6"/>
      <c r="G14" s="846" t="s">
        <v>6</v>
      </c>
      <c r="H14" s="846"/>
      <c r="I14" s="846"/>
      <c r="M14" s="33"/>
    </row>
    <row r="15" spans="1:49" ht="30.75" customHeight="1" x14ac:dyDescent="0.25">
      <c r="A15" s="8"/>
      <c r="B15" s="6"/>
      <c r="C15" s="9"/>
      <c r="G15" s="890" t="s">
        <v>1227</v>
      </c>
      <c r="H15" s="890"/>
      <c r="I15" s="890"/>
      <c r="J15" s="847" t="s">
        <v>1227</v>
      </c>
      <c r="K15" s="847"/>
      <c r="L15" s="847"/>
      <c r="M15" s="33"/>
    </row>
    <row r="16" spans="1:49" ht="32.25" customHeight="1" x14ac:dyDescent="0.25">
      <c r="A16" s="8"/>
      <c r="B16" s="6"/>
      <c r="C16" s="10"/>
      <c r="G16" s="850" t="s">
        <v>7</v>
      </c>
      <c r="H16" s="850"/>
      <c r="I16" s="850"/>
      <c r="J16" s="138"/>
      <c r="K16" s="12"/>
      <c r="L16" s="680"/>
      <c r="M16" s="33"/>
    </row>
    <row r="17" spans="1:13" x14ac:dyDescent="0.25">
      <c r="A17" s="8"/>
      <c r="B17" s="6"/>
      <c r="C17" s="10"/>
      <c r="G17" s="563"/>
      <c r="H17" s="563"/>
      <c r="I17" s="563"/>
      <c r="J17" s="138"/>
      <c r="K17" s="12"/>
      <c r="L17" s="680"/>
      <c r="M17" s="33"/>
    </row>
    <row r="18" spans="1:13" x14ac:dyDescent="0.25">
      <c r="A18" s="8"/>
      <c r="B18" s="6"/>
      <c r="G18" s="891" t="s">
        <v>1228</v>
      </c>
      <c r="H18" s="891"/>
      <c r="I18" s="891"/>
      <c r="J18" s="700" t="s">
        <v>1228</v>
      </c>
      <c r="K18" s="697"/>
      <c r="L18" s="697"/>
      <c r="M18" s="33"/>
    </row>
    <row r="19" spans="1:13" x14ac:dyDescent="0.25">
      <c r="B19" s="6"/>
      <c r="C19" s="13"/>
      <c r="G19" s="851" t="s">
        <v>5</v>
      </c>
      <c r="H19" s="851"/>
      <c r="I19" s="851"/>
      <c r="M19" s="33"/>
    </row>
    <row r="20" spans="1:13" x14ac:dyDescent="0.25">
      <c r="B20" s="6"/>
      <c r="C20" s="13"/>
      <c r="G20" s="565"/>
      <c r="H20" s="565"/>
      <c r="I20" s="565"/>
      <c r="M20" s="33" t="s">
        <v>8</v>
      </c>
    </row>
    <row r="21" spans="1:13" x14ac:dyDescent="0.25">
      <c r="B21" s="6"/>
      <c r="G21" s="898" t="s">
        <v>1288</v>
      </c>
      <c r="H21" s="898"/>
      <c r="M21" s="33" t="s">
        <v>9</v>
      </c>
    </row>
    <row r="22" spans="1:13" x14ac:dyDescent="0.25">
      <c r="G22" s="6"/>
      <c r="H22" s="6"/>
      <c r="I22" s="6"/>
      <c r="M22" s="33"/>
    </row>
    <row r="23" spans="1:13" x14ac:dyDescent="0.25">
      <c r="G23" s="564"/>
      <c r="H23" s="564"/>
      <c r="I23" s="564"/>
      <c r="M23" s="33"/>
    </row>
    <row r="24" spans="1:13" x14ac:dyDescent="0.25">
      <c r="G24" s="564"/>
      <c r="H24" s="564"/>
      <c r="I24" s="564"/>
      <c r="M24" s="33"/>
    </row>
    <row r="25" spans="1:13" ht="15.75" customHeight="1" x14ac:dyDescent="0.3">
      <c r="C25" s="14"/>
      <c r="D25" s="14"/>
      <c r="E25" s="14"/>
      <c r="F25" s="14"/>
      <c r="G25" s="14"/>
      <c r="H25" s="14"/>
      <c r="I25" s="14"/>
      <c r="M25" s="33"/>
    </row>
    <row r="26" spans="1:13" ht="15.75" customHeight="1" x14ac:dyDescent="0.3">
      <c r="C26" s="14"/>
      <c r="D26" s="14"/>
      <c r="E26" s="14"/>
      <c r="F26" s="14"/>
      <c r="G26" s="14"/>
      <c r="H26" s="14"/>
      <c r="I26" s="14"/>
      <c r="M26" s="33"/>
    </row>
    <row r="27" spans="1:13" ht="15.75" customHeight="1" x14ac:dyDescent="0.3">
      <c r="B27" s="852" t="s">
        <v>756</v>
      </c>
      <c r="C27" s="852"/>
      <c r="D27" s="852"/>
      <c r="E27" s="852"/>
      <c r="F27" s="852"/>
      <c r="G27" s="852"/>
      <c r="H27" s="852"/>
      <c r="I27" s="852"/>
      <c r="M27" s="33"/>
    </row>
    <row r="28" spans="1:13" ht="15.75" customHeight="1" x14ac:dyDescent="0.3">
      <c r="B28" s="852" t="str">
        <f>K4&amp;" "&amp;R1&amp;" "&amp;L4&amp;" "&amp;R2&amp;" "&amp;M4&amp;" "&amp;R3&amp;" "&amp;N4</f>
        <v>на 2024 г. и плановый период 2025 и 2026 годов</v>
      </c>
      <c r="C28" s="852"/>
      <c r="D28" s="852"/>
      <c r="E28" s="852"/>
      <c r="F28" s="852"/>
      <c r="G28" s="852"/>
      <c r="H28" s="852"/>
      <c r="I28" s="852"/>
      <c r="J28" s="139"/>
      <c r="M28" s="33"/>
    </row>
    <row r="29" spans="1:13" x14ac:dyDescent="0.25">
      <c r="M29" s="33"/>
    </row>
    <row r="30" spans="1:13" x14ac:dyDescent="0.25">
      <c r="M30" s="33"/>
    </row>
    <row r="31" spans="1:13" x14ac:dyDescent="0.25">
      <c r="M31" s="33"/>
    </row>
    <row r="32" spans="1:13" x14ac:dyDescent="0.25">
      <c r="I32" s="559" t="s">
        <v>10</v>
      </c>
      <c r="M32" s="33"/>
    </row>
    <row r="33" spans="2:13" x14ac:dyDescent="0.25">
      <c r="B33" s="16" t="s">
        <v>11</v>
      </c>
      <c r="C33" s="898" t="str">
        <f>CONCATENATE(T1," ",U1," ",V1," ",W2," ",X1," ",Y1)</f>
        <v>« 24 » октября 2024 г.</v>
      </c>
      <c r="D33" s="898"/>
      <c r="H33" s="853" t="s">
        <v>12</v>
      </c>
      <c r="I33" s="899">
        <f>DATE(X1,MONTH(1&amp;W1),U1)</f>
        <v>45589</v>
      </c>
      <c r="J33" s="140" t="s">
        <v>11</v>
      </c>
      <c r="K33" s="17" t="s">
        <v>13</v>
      </c>
      <c r="M33" s="33" t="s">
        <v>14</v>
      </c>
    </row>
    <row r="34" spans="2:13" x14ac:dyDescent="0.25">
      <c r="H34" s="853"/>
      <c r="I34" s="900"/>
      <c r="M34" s="33"/>
    </row>
    <row r="35" spans="2:13" x14ac:dyDescent="0.25">
      <c r="G35" s="856" t="s">
        <v>15</v>
      </c>
      <c r="H35" s="857"/>
      <c r="I35" s="858">
        <v>32305650</v>
      </c>
      <c r="M35" s="33"/>
    </row>
    <row r="36" spans="2:13" x14ac:dyDescent="0.25">
      <c r="B36" s="2" t="s">
        <v>16</v>
      </c>
      <c r="C36" s="901" t="s">
        <v>17</v>
      </c>
      <c r="D36" s="901"/>
      <c r="E36" s="901"/>
      <c r="F36" s="901"/>
      <c r="G36" s="856"/>
      <c r="H36" s="857"/>
      <c r="I36" s="859"/>
      <c r="K36" s="17" t="s">
        <v>18</v>
      </c>
      <c r="M36" s="33"/>
    </row>
    <row r="37" spans="2:13" x14ac:dyDescent="0.25">
      <c r="B37" s="2" t="s">
        <v>19</v>
      </c>
      <c r="C37" s="902" t="s">
        <v>20</v>
      </c>
      <c r="D37" s="902"/>
      <c r="E37" s="902"/>
      <c r="F37" s="902"/>
      <c r="H37" s="857" t="s">
        <v>21</v>
      </c>
      <c r="I37" s="858">
        <v>911</v>
      </c>
      <c r="M37" s="33"/>
    </row>
    <row r="38" spans="2:13" x14ac:dyDescent="0.25">
      <c r="C38" s="8"/>
      <c r="D38" s="8"/>
      <c r="E38" s="8"/>
      <c r="F38" s="8"/>
      <c r="H38" s="857"/>
      <c r="I38" s="859"/>
      <c r="M38" s="33"/>
    </row>
    <row r="39" spans="2:13" x14ac:dyDescent="0.25">
      <c r="C39" s="8"/>
      <c r="D39" s="8"/>
      <c r="E39" s="8"/>
      <c r="F39" s="8"/>
      <c r="G39" s="856" t="s">
        <v>15</v>
      </c>
      <c r="H39" s="857"/>
      <c r="I39" s="892" t="s">
        <v>1230</v>
      </c>
      <c r="M39" s="33"/>
    </row>
    <row r="40" spans="2:13" x14ac:dyDescent="0.25">
      <c r="C40" s="8"/>
      <c r="D40" s="8"/>
      <c r="E40" s="8"/>
      <c r="F40" s="8"/>
      <c r="G40" s="856"/>
      <c r="H40" s="857"/>
      <c r="I40" s="893"/>
      <c r="K40" s="17" t="s">
        <v>22</v>
      </c>
      <c r="M40" s="33"/>
    </row>
    <row r="41" spans="2:13" x14ac:dyDescent="0.25">
      <c r="C41" s="8"/>
      <c r="D41" s="8"/>
      <c r="E41" s="8"/>
      <c r="F41" s="8"/>
      <c r="H41" s="857" t="s">
        <v>23</v>
      </c>
      <c r="I41" s="892" t="s">
        <v>1231</v>
      </c>
      <c r="M41" s="33"/>
    </row>
    <row r="42" spans="2:13" x14ac:dyDescent="0.25">
      <c r="B42" s="2" t="s">
        <v>25</v>
      </c>
      <c r="C42" s="698" t="s">
        <v>1225</v>
      </c>
      <c r="D42" s="18"/>
      <c r="E42" s="18"/>
      <c r="F42" s="18"/>
      <c r="H42" s="857"/>
      <c r="I42" s="893"/>
      <c r="K42" s="17" t="s">
        <v>22</v>
      </c>
      <c r="M42" s="33"/>
    </row>
    <row r="43" spans="2:13" ht="30" customHeight="1" x14ac:dyDescent="0.25">
      <c r="B43" s="890" t="s">
        <v>1229</v>
      </c>
      <c r="C43" s="890"/>
      <c r="D43" s="890"/>
      <c r="E43" s="890"/>
      <c r="F43" s="890"/>
      <c r="H43" s="857" t="s">
        <v>24</v>
      </c>
      <c r="I43" s="894">
        <v>420501001</v>
      </c>
      <c r="M43" s="33"/>
    </row>
    <row r="44" spans="2:13" ht="15" customHeight="1" x14ac:dyDescent="0.25">
      <c r="C44" s="8"/>
      <c r="D44" s="8"/>
      <c r="E44" s="8"/>
      <c r="F44" s="8"/>
      <c r="H44" s="857"/>
      <c r="I44" s="895"/>
      <c r="M44" s="33"/>
    </row>
    <row r="45" spans="2:13" x14ac:dyDescent="0.25">
      <c r="H45" s="857"/>
      <c r="I45" s="896"/>
      <c r="K45" s="17" t="s">
        <v>22</v>
      </c>
      <c r="M45" s="33"/>
    </row>
    <row r="46" spans="2:13" x14ac:dyDescent="0.25">
      <c r="B46" s="19"/>
      <c r="C46" s="8"/>
      <c r="D46" s="8"/>
      <c r="E46" s="8"/>
      <c r="F46" s="8"/>
      <c r="H46" s="857" t="s">
        <v>26</v>
      </c>
      <c r="I46" s="858">
        <v>383</v>
      </c>
      <c r="M46" s="33"/>
    </row>
    <row r="47" spans="2:13" x14ac:dyDescent="0.25">
      <c r="B47" s="2" t="s">
        <v>27</v>
      </c>
      <c r="H47" s="857"/>
      <c r="I47" s="859"/>
      <c r="M47" s="33"/>
    </row>
    <row r="48" spans="2:13" x14ac:dyDescent="0.25">
      <c r="H48" s="562"/>
      <c r="I48" s="562"/>
      <c r="M48" s="33"/>
    </row>
    <row r="49" spans="1:52" x14ac:dyDescent="0.25">
      <c r="H49" s="562"/>
      <c r="I49" s="562"/>
      <c r="M49" s="33"/>
    </row>
    <row r="50" spans="1:52" x14ac:dyDescent="0.25">
      <c r="H50" s="562"/>
      <c r="I50" s="562"/>
      <c r="M50" s="33"/>
    </row>
    <row r="51" spans="1:52" x14ac:dyDescent="0.25">
      <c r="H51" s="562"/>
      <c r="I51" s="562"/>
      <c r="M51" s="33"/>
    </row>
    <row r="52" spans="1:52" x14ac:dyDescent="0.25">
      <c r="H52" s="562"/>
      <c r="I52" s="562"/>
      <c r="M52" s="33"/>
    </row>
    <row r="53" spans="1:52" x14ac:dyDescent="0.25">
      <c r="M53" s="33"/>
    </row>
    <row r="54" spans="1:52" x14ac:dyDescent="0.25">
      <c r="B54" s="123" t="s">
        <v>28</v>
      </c>
      <c r="C54" s="123"/>
      <c r="D54" s="123"/>
      <c r="E54" s="123"/>
      <c r="F54" s="558"/>
      <c r="G54" s="558"/>
      <c r="H54" s="558"/>
      <c r="I54" s="558"/>
      <c r="M54" s="33"/>
    </row>
    <row r="55" spans="1:52" x14ac:dyDescent="0.25">
      <c r="C55" s="18"/>
      <c r="D55" s="18"/>
      <c r="E55" s="18"/>
      <c r="F55" s="18"/>
      <c r="M55" s="33"/>
    </row>
    <row r="56" spans="1:52" ht="15" customHeight="1" x14ac:dyDescent="0.25">
      <c r="B56" s="860" t="s">
        <v>29</v>
      </c>
      <c r="C56" s="860" t="s">
        <v>30</v>
      </c>
      <c r="D56" s="860" t="s">
        <v>31</v>
      </c>
      <c r="E56" s="860" t="s">
        <v>32</v>
      </c>
      <c r="F56" s="866" t="s">
        <v>33</v>
      </c>
      <c r="G56" s="867"/>
      <c r="H56" s="867"/>
      <c r="I56" s="868"/>
      <c r="L56" s="688"/>
      <c r="M56" s="33"/>
    </row>
    <row r="57" spans="1:52" ht="41.4" x14ac:dyDescent="0.25">
      <c r="B57" s="860"/>
      <c r="C57" s="860"/>
      <c r="D57" s="860"/>
      <c r="E57" s="860"/>
      <c r="F57" s="676" t="str">
        <f>Q1&amp;" "&amp;R1&amp;" "&amp;S1</f>
        <v>на 2024 г. текущий финансовый год</v>
      </c>
      <c r="G57" s="676" t="str">
        <f>Q2&amp;" "&amp;R2&amp;" "&amp;S2</f>
        <v>на 2025 г. первый год планового периода</v>
      </c>
      <c r="H57" s="676" t="str">
        <f>Q3&amp;" "&amp;R3&amp;" "&amp;S3</f>
        <v>на 2026 г. второй год планового периода</v>
      </c>
      <c r="I57" s="676" t="s">
        <v>34</v>
      </c>
      <c r="L57" s="688"/>
      <c r="M57" s="33"/>
    </row>
    <row r="58" spans="1:52" x14ac:dyDescent="0.25">
      <c r="B58" s="676">
        <v>1</v>
      </c>
      <c r="C58" s="677">
        <v>2</v>
      </c>
      <c r="D58" s="677">
        <v>3</v>
      </c>
      <c r="E58" s="677">
        <v>4</v>
      </c>
      <c r="F58" s="677">
        <v>5</v>
      </c>
      <c r="G58" s="677">
        <v>6</v>
      </c>
      <c r="H58" s="677">
        <v>7</v>
      </c>
      <c r="I58" s="677">
        <v>8</v>
      </c>
      <c r="L58" s="688"/>
      <c r="M58" s="33"/>
    </row>
    <row r="59" spans="1:52" x14ac:dyDescent="0.25">
      <c r="B59" s="20" t="s">
        <v>35</v>
      </c>
      <c r="C59" s="21" t="s">
        <v>36</v>
      </c>
      <c r="D59" s="677" t="s">
        <v>37</v>
      </c>
      <c r="E59" s="677" t="s">
        <v>37</v>
      </c>
      <c r="F59" s="22">
        <f>'Утверждено (МЗ,ИЦ,КАП)'!L5+'Утверждено (МЗ,ИЦ,КАП)'!L202+'Утверждено (ПДД)'!E14</f>
        <v>1401989.22</v>
      </c>
      <c r="G59" s="22">
        <f>F60</f>
        <v>0</v>
      </c>
      <c r="H59" s="22">
        <f>G60</f>
        <v>0</v>
      </c>
      <c r="I59" s="22"/>
      <c r="J59" s="137">
        <v>30990415.550000001</v>
      </c>
      <c r="K59" s="5" t="s">
        <v>38</v>
      </c>
      <c r="L59" s="688"/>
      <c r="M59" s="905" t="s">
        <v>39</v>
      </c>
      <c r="N59" s="905"/>
      <c r="O59" s="905"/>
      <c r="P59" s="905"/>
      <c r="Q59" s="905"/>
      <c r="R59" s="905"/>
      <c r="S59" s="905"/>
      <c r="T59" s="905"/>
      <c r="U59" s="905"/>
      <c r="V59" s="905"/>
      <c r="W59" s="905"/>
      <c r="X59" s="905"/>
      <c r="Y59" s="905"/>
      <c r="Z59" s="905"/>
      <c r="AA59" s="905"/>
      <c r="AB59" s="905"/>
      <c r="AC59" s="905"/>
      <c r="AD59" s="905"/>
      <c r="AE59" s="905"/>
      <c r="AF59" s="905"/>
      <c r="AW59" s="132"/>
      <c r="AX59" s="132"/>
      <c r="AY59" s="132"/>
      <c r="AZ59" s="132"/>
    </row>
    <row r="60" spans="1:52" x14ac:dyDescent="0.25">
      <c r="B60" s="20" t="s">
        <v>40</v>
      </c>
      <c r="C60" s="21" t="s">
        <v>41</v>
      </c>
      <c r="D60" s="677" t="s">
        <v>37</v>
      </c>
      <c r="E60" s="677" t="s">
        <v>37</v>
      </c>
      <c r="F60" s="22">
        <f>F59+F61-F81+F242-F246</f>
        <v>0</v>
      </c>
      <c r="G60" s="22">
        <f>G59+G61-G81+G242-G246</f>
        <v>0</v>
      </c>
      <c r="H60" s="22">
        <f>H59+H61-H81+H242-H246</f>
        <v>0</v>
      </c>
      <c r="I60" s="22">
        <f>I59+I61-I81</f>
        <v>0</v>
      </c>
      <c r="J60" s="141">
        <f>F61+F59</f>
        <v>31393494.780000001</v>
      </c>
      <c r="K60" s="5" t="s">
        <v>38</v>
      </c>
      <c r="L60" s="688"/>
      <c r="M60" s="905"/>
      <c r="N60" s="905"/>
      <c r="O60" s="905"/>
      <c r="P60" s="905"/>
      <c r="Q60" s="905"/>
      <c r="R60" s="905"/>
      <c r="S60" s="905"/>
      <c r="T60" s="905"/>
      <c r="U60" s="905"/>
      <c r="V60" s="905"/>
      <c r="W60" s="905"/>
      <c r="X60" s="905"/>
      <c r="Y60" s="905"/>
      <c r="Z60" s="905"/>
      <c r="AA60" s="905"/>
      <c r="AB60" s="905"/>
      <c r="AC60" s="905"/>
      <c r="AD60" s="905"/>
      <c r="AE60" s="905"/>
      <c r="AF60" s="905"/>
      <c r="AW60" s="132"/>
      <c r="AX60" s="132"/>
      <c r="AY60" s="132"/>
      <c r="AZ60" s="132"/>
    </row>
    <row r="61" spans="1:52" s="28" customFormat="1" x14ac:dyDescent="0.25">
      <c r="A61" s="23"/>
      <c r="B61" s="24" t="s">
        <v>42</v>
      </c>
      <c r="C61" s="25" t="s">
        <v>43</v>
      </c>
      <c r="D61" s="26" t="s">
        <v>37</v>
      </c>
      <c r="E61" s="26" t="s">
        <v>37</v>
      </c>
      <c r="F61" s="27">
        <f>SUM(F62,F63,F66,F67,F71,F73,F76)</f>
        <v>29991505.559999999</v>
      </c>
      <c r="G61" s="27">
        <f>SUM(G62,G63,G66,G67,G71,G73,G76)</f>
        <v>24511852.859999999</v>
      </c>
      <c r="H61" s="27">
        <f>SUM(H62,H63,H66,H67,H71,H73,H76)</f>
        <v>24511852.859999999</v>
      </c>
      <c r="I61" s="27">
        <f>SUM(I62,I63,I66,I67,I71,I73)</f>
        <v>0</v>
      </c>
      <c r="J61" s="141">
        <f>J59-J60</f>
        <v>-403079.23</v>
      </c>
      <c r="K61" s="29"/>
      <c r="L61" s="689"/>
      <c r="M61" s="690"/>
      <c r="N61" s="126"/>
      <c r="O61" s="126"/>
      <c r="P61" s="126"/>
      <c r="Q61" s="126"/>
      <c r="R61" s="126"/>
      <c r="S61" s="126"/>
      <c r="T61" s="126"/>
      <c r="U61" s="126"/>
      <c r="V61" s="126"/>
      <c r="W61" s="126"/>
      <c r="AW61" s="132"/>
      <c r="AX61" s="132"/>
      <c r="AY61" s="132"/>
      <c r="AZ61" s="132"/>
    </row>
    <row r="62" spans="1:52" ht="27.6" x14ac:dyDescent="0.25">
      <c r="B62" s="20" t="s">
        <v>1014</v>
      </c>
      <c r="C62" s="21" t="s">
        <v>45</v>
      </c>
      <c r="D62" s="677">
        <v>120</v>
      </c>
      <c r="E62" s="677">
        <v>120</v>
      </c>
      <c r="F62" s="22">
        <f>'Утверждено (ПДД)'!E50</f>
        <v>0</v>
      </c>
      <c r="G62" s="22">
        <f>'Утверждено (ПДД)'!F50</f>
        <v>0</v>
      </c>
      <c r="H62" s="22">
        <f>'Утверждено (ПДД)'!G50</f>
        <v>0</v>
      </c>
      <c r="I62" s="22"/>
      <c r="K62" s="30">
        <v>2</v>
      </c>
      <c r="L62" s="691">
        <v>121</v>
      </c>
      <c r="M62" s="33" t="s">
        <v>46</v>
      </c>
      <c r="AW62" s="132"/>
      <c r="AX62" s="132"/>
      <c r="AY62" s="132"/>
      <c r="AZ62" s="132"/>
    </row>
    <row r="63" spans="1:52" ht="27.6" x14ac:dyDescent="0.25">
      <c r="B63" s="20" t="s">
        <v>1015</v>
      </c>
      <c r="C63" s="21" t="s">
        <v>48</v>
      </c>
      <c r="D63" s="677">
        <v>130</v>
      </c>
      <c r="E63" s="677">
        <v>130</v>
      </c>
      <c r="F63" s="22">
        <f>SUM(F64:F65)</f>
        <v>29529748.149999999</v>
      </c>
      <c r="G63" s="22">
        <f>SUM(G64:G65)</f>
        <v>24111852.859999999</v>
      </c>
      <c r="H63" s="22">
        <f>SUM(H64:H65)</f>
        <v>24111852.859999999</v>
      </c>
      <c r="I63" s="22">
        <f>SUM(I64:I65)</f>
        <v>0</v>
      </c>
      <c r="K63" s="31"/>
      <c r="L63" s="692"/>
      <c r="M63" s="33"/>
      <c r="AW63" s="132"/>
      <c r="AX63" s="132"/>
      <c r="AY63" s="132"/>
      <c r="AZ63" s="132"/>
    </row>
    <row r="64" spans="1:52" ht="74.25" customHeight="1" x14ac:dyDescent="0.25">
      <c r="B64" s="20" t="s">
        <v>1016</v>
      </c>
      <c r="C64" s="21" t="s">
        <v>50</v>
      </c>
      <c r="D64" s="677">
        <v>130</v>
      </c>
      <c r="E64" s="677">
        <v>130</v>
      </c>
      <c r="F64" s="22">
        <f>'Утверждено (МЗ,ИЦ,КАП)'!I5</f>
        <v>25397150.149999999</v>
      </c>
      <c r="G64" s="22">
        <f>'Утверждено (МЗ,ИЦ,КАП)'!J5</f>
        <v>20043054.859999999</v>
      </c>
      <c r="H64" s="22">
        <f>'Утверждено (МЗ,ИЦ,КАП)'!K5</f>
        <v>20043054.859999999</v>
      </c>
      <c r="I64" s="22"/>
      <c r="K64" s="32">
        <v>4</v>
      </c>
      <c r="L64" s="692" t="s">
        <v>993</v>
      </c>
      <c r="M64" s="33" t="s">
        <v>51</v>
      </c>
      <c r="AW64" s="132"/>
      <c r="AX64" s="132"/>
      <c r="AY64" s="132"/>
      <c r="AZ64" s="132"/>
    </row>
    <row r="65" spans="2:52" ht="41.4" x14ac:dyDescent="0.25">
      <c r="B65" s="20" t="s">
        <v>104</v>
      </c>
      <c r="C65" s="21" t="s">
        <v>52</v>
      </c>
      <c r="D65" s="677">
        <v>130</v>
      </c>
      <c r="E65" s="677">
        <v>130</v>
      </c>
      <c r="F65" s="22">
        <f>'Утверждено (ПДД)'!E49+'Утверждено (ПДД)'!E51+'Утверждено (ПДД)'!E52+'Утверждено (ПДД)'!E53</f>
        <v>4132598</v>
      </c>
      <c r="G65" s="22">
        <f>'Утверждено (ПДД)'!F49+'Утверждено (ПДД)'!F51+'Утверждено (ПДД)'!F52+'Утверждено (ПДД)'!F53</f>
        <v>4068798</v>
      </c>
      <c r="H65" s="22">
        <f>'Утверждено (ПДД)'!G49+'Утверждено (ПДД)'!G51+'Утверждено (ПДД)'!G52+'Утверждено (ПДД)'!G53</f>
        <v>4068798</v>
      </c>
      <c r="I65" s="22"/>
      <c r="K65" s="32">
        <v>2</v>
      </c>
      <c r="L65" s="692" t="s">
        <v>992</v>
      </c>
      <c r="M65" s="33" t="s">
        <v>53</v>
      </c>
      <c r="AW65" s="132"/>
      <c r="AX65" s="132"/>
      <c r="AY65" s="132"/>
      <c r="AZ65" s="132"/>
    </row>
    <row r="66" spans="2:52" ht="32.25" customHeight="1" x14ac:dyDescent="0.25">
      <c r="B66" s="20" t="s">
        <v>1017</v>
      </c>
      <c r="C66" s="21" t="s">
        <v>55</v>
      </c>
      <c r="D66" s="677">
        <v>140</v>
      </c>
      <c r="E66" s="677">
        <v>140</v>
      </c>
      <c r="F66" s="22">
        <v>0</v>
      </c>
      <c r="G66" s="22">
        <f>'Утверждено (ПДД)'!F57</f>
        <v>0</v>
      </c>
      <c r="H66" s="22">
        <f>'Утверждено (ПДД)'!G57</f>
        <v>0</v>
      </c>
      <c r="I66" s="22"/>
      <c r="K66" s="32">
        <v>2</v>
      </c>
      <c r="L66" s="692" t="s">
        <v>56</v>
      </c>
      <c r="M66" s="33" t="s">
        <v>57</v>
      </c>
      <c r="AW66" s="132"/>
      <c r="AX66" s="132"/>
      <c r="AY66" s="132"/>
      <c r="AZ66" s="132"/>
    </row>
    <row r="67" spans="2:52" x14ac:dyDescent="0.25">
      <c r="B67" s="20" t="s">
        <v>1018</v>
      </c>
      <c r="C67" s="21" t="s">
        <v>59</v>
      </c>
      <c r="D67" s="677">
        <v>150</v>
      </c>
      <c r="E67" s="677">
        <v>150</v>
      </c>
      <c r="F67" s="22">
        <f>SUM(F68:F70)</f>
        <v>457806.41</v>
      </c>
      <c r="G67" s="22">
        <f>SUM(G68:G70)</f>
        <v>400000</v>
      </c>
      <c r="H67" s="22">
        <f>SUM(H68:H70)</f>
        <v>400000</v>
      </c>
      <c r="I67" s="22">
        <f>SUM(I68:I70)</f>
        <v>0</v>
      </c>
      <c r="K67" s="32"/>
      <c r="L67" s="692"/>
      <c r="M67" s="33"/>
      <c r="AW67" s="132"/>
      <c r="AX67" s="132"/>
      <c r="AY67" s="132"/>
      <c r="AZ67" s="132"/>
    </row>
    <row r="68" spans="2:52" ht="27.6" x14ac:dyDescent="0.25">
      <c r="B68" s="20" t="s">
        <v>1019</v>
      </c>
      <c r="C68" s="21" t="s">
        <v>60</v>
      </c>
      <c r="D68" s="677">
        <v>150</v>
      </c>
      <c r="E68" s="677">
        <v>150</v>
      </c>
      <c r="F68" s="22">
        <f>'Утверждено (МЗ,ИЦ,КАП)'!F196</f>
        <v>57806.41</v>
      </c>
      <c r="G68" s="22">
        <v>0</v>
      </c>
      <c r="H68" s="22">
        <v>0</v>
      </c>
      <c r="I68" s="22"/>
      <c r="K68" s="32">
        <v>5</v>
      </c>
      <c r="L68" s="692" t="s">
        <v>994</v>
      </c>
      <c r="M68" s="33" t="s">
        <v>65</v>
      </c>
      <c r="AW68" s="132"/>
      <c r="AX68" s="132"/>
      <c r="AY68" s="132"/>
      <c r="AZ68" s="132"/>
    </row>
    <row r="69" spans="2:52" ht="30" customHeight="1" x14ac:dyDescent="0.25">
      <c r="B69" s="20" t="s">
        <v>1120</v>
      </c>
      <c r="C69" s="21" t="s">
        <v>396</v>
      </c>
      <c r="D69" s="677">
        <v>150</v>
      </c>
      <c r="E69" s="677">
        <v>150</v>
      </c>
      <c r="F69" s="22">
        <v>0</v>
      </c>
      <c r="G69" s="22">
        <v>0</v>
      </c>
      <c r="H69" s="22">
        <v>0</v>
      </c>
      <c r="I69" s="22"/>
      <c r="K69" s="32"/>
      <c r="L69" s="692"/>
      <c r="M69" s="33"/>
      <c r="AW69" s="132"/>
      <c r="AX69" s="132"/>
      <c r="AY69" s="132"/>
      <c r="AZ69" s="132"/>
    </row>
    <row r="70" spans="2:52" ht="45" customHeight="1" x14ac:dyDescent="0.25">
      <c r="B70" s="20" t="s">
        <v>155</v>
      </c>
      <c r="C70" s="21" t="s">
        <v>401</v>
      </c>
      <c r="D70" s="677">
        <v>150</v>
      </c>
      <c r="E70" s="677">
        <v>150</v>
      </c>
      <c r="F70" s="22">
        <f>'Утверждено (ПДД)'!E55+'Утверждено (ПДД)'!E54</f>
        <v>400000</v>
      </c>
      <c r="G70" s="22">
        <f>'Утверждено (ПДД)'!F55+'Утверждено (ПДД)'!F54</f>
        <v>400000</v>
      </c>
      <c r="H70" s="22">
        <f>'Утверждено (ПДД)'!G55+'Утверждено (ПДД)'!G54</f>
        <v>400000</v>
      </c>
      <c r="I70" s="22"/>
      <c r="K70" s="32">
        <v>2</v>
      </c>
      <c r="L70" s="692">
        <v>155</v>
      </c>
      <c r="M70" s="33" t="s">
        <v>61</v>
      </c>
      <c r="AW70" s="132"/>
      <c r="AX70" s="132"/>
      <c r="AY70" s="132"/>
      <c r="AZ70" s="132"/>
    </row>
    <row r="71" spans="2:52" x14ac:dyDescent="0.25">
      <c r="B71" s="20" t="s">
        <v>1020</v>
      </c>
      <c r="C71" s="21" t="s">
        <v>63</v>
      </c>
      <c r="D71" s="677">
        <v>180</v>
      </c>
      <c r="E71" s="677">
        <v>180</v>
      </c>
      <c r="F71" s="22">
        <f>SUM(F72:F72)</f>
        <v>0</v>
      </c>
      <c r="G71" s="22">
        <f>SUM(G72:G72)</f>
        <v>0</v>
      </c>
      <c r="H71" s="22">
        <f>SUM(H72:H72)</f>
        <v>0</v>
      </c>
      <c r="I71" s="22">
        <f>SUM(I72:I72)</f>
        <v>0</v>
      </c>
      <c r="K71" s="32"/>
      <c r="L71" s="692"/>
      <c r="M71" s="33"/>
      <c r="AW71" s="132"/>
      <c r="AX71" s="132"/>
      <c r="AY71" s="132"/>
      <c r="AZ71" s="132"/>
    </row>
    <row r="72" spans="2:52" ht="27.6" x14ac:dyDescent="0.25">
      <c r="B72" s="20" t="s">
        <v>1021</v>
      </c>
      <c r="C72" s="21" t="s">
        <v>64</v>
      </c>
      <c r="D72" s="677">
        <v>180</v>
      </c>
      <c r="E72" s="677">
        <v>180</v>
      </c>
      <c r="F72" s="22"/>
      <c r="G72" s="22"/>
      <c r="H72" s="22"/>
      <c r="I72" s="22"/>
      <c r="K72" s="32">
        <v>5</v>
      </c>
      <c r="L72" s="692"/>
      <c r="M72" s="33"/>
      <c r="AW72" s="132"/>
      <c r="AX72" s="132"/>
      <c r="AY72" s="132"/>
      <c r="AZ72" s="132"/>
    </row>
    <row r="73" spans="2:52" ht="15" customHeight="1" x14ac:dyDescent="0.25">
      <c r="B73" s="20" t="s">
        <v>1022</v>
      </c>
      <c r="C73" s="21" t="s">
        <v>68</v>
      </c>
      <c r="D73" s="677" t="s">
        <v>37</v>
      </c>
      <c r="E73" s="677" t="s">
        <v>37</v>
      </c>
      <c r="F73" s="22">
        <f>SUM(F74:F75)</f>
        <v>0</v>
      </c>
      <c r="G73" s="22">
        <f>SUM(G74:G75)</f>
        <v>0</v>
      </c>
      <c r="H73" s="22">
        <f>SUM(H74:H75)</f>
        <v>0</v>
      </c>
      <c r="I73" s="22">
        <f>SUM(I74:I75)</f>
        <v>0</v>
      </c>
      <c r="K73" s="32"/>
      <c r="L73" s="692"/>
      <c r="M73" s="33"/>
      <c r="AW73" s="132"/>
      <c r="AX73" s="132"/>
      <c r="AY73" s="132"/>
      <c r="AZ73" s="132"/>
    </row>
    <row r="74" spans="2:52" ht="55.2" x14ac:dyDescent="0.25">
      <c r="B74" s="20" t="s">
        <v>1023</v>
      </c>
      <c r="C74" s="21" t="s">
        <v>69</v>
      </c>
      <c r="D74" s="677">
        <v>410</v>
      </c>
      <c r="E74" s="677">
        <v>410</v>
      </c>
      <c r="F74" s="22"/>
      <c r="G74" s="22"/>
      <c r="H74" s="22"/>
      <c r="I74" s="22"/>
      <c r="K74" s="32">
        <v>2</v>
      </c>
      <c r="L74" s="692">
        <v>410</v>
      </c>
      <c r="M74" s="33" t="s">
        <v>70</v>
      </c>
      <c r="AW74" s="132"/>
      <c r="AX74" s="132"/>
      <c r="AY74" s="132"/>
      <c r="AZ74" s="132"/>
    </row>
    <row r="75" spans="2:52" ht="41.4" x14ac:dyDescent="0.25">
      <c r="B75" s="20" t="s">
        <v>1024</v>
      </c>
      <c r="C75" s="21" t="s">
        <v>71</v>
      </c>
      <c r="D75" s="677">
        <v>440</v>
      </c>
      <c r="E75" s="677">
        <v>440</v>
      </c>
      <c r="F75" s="22"/>
      <c r="G75" s="22">
        <f>'Утверждено (ПДД)'!F56</f>
        <v>0</v>
      </c>
      <c r="H75" s="22">
        <f>'Утверждено (ПДД)'!G56</f>
        <v>0</v>
      </c>
      <c r="I75" s="22"/>
      <c r="K75" s="32">
        <v>2</v>
      </c>
      <c r="L75" s="692" t="s">
        <v>72</v>
      </c>
      <c r="M75" s="33" t="s">
        <v>73</v>
      </c>
      <c r="AW75" s="132"/>
      <c r="AX75" s="132"/>
      <c r="AY75" s="132"/>
      <c r="AZ75" s="132"/>
    </row>
    <row r="76" spans="2:52" x14ac:dyDescent="0.25">
      <c r="B76" s="20" t="s">
        <v>1025</v>
      </c>
      <c r="C76" s="21" t="s">
        <v>74</v>
      </c>
      <c r="D76" s="677" t="s">
        <v>37</v>
      </c>
      <c r="E76" s="677" t="s">
        <v>37</v>
      </c>
      <c r="F76" s="22">
        <f>F77</f>
        <v>3951</v>
      </c>
      <c r="G76" s="22"/>
      <c r="H76" s="22"/>
      <c r="I76" s="22"/>
      <c r="J76" s="141"/>
      <c r="K76" s="32" t="s">
        <v>75</v>
      </c>
      <c r="L76" s="692" t="s">
        <v>995</v>
      </c>
      <c r="M76" s="33" t="s">
        <v>76</v>
      </c>
      <c r="AW76" s="132"/>
      <c r="AX76" s="132"/>
      <c r="AY76" s="132"/>
      <c r="AZ76" s="132"/>
    </row>
    <row r="77" spans="2:52" ht="44.25" customHeight="1" x14ac:dyDescent="0.25">
      <c r="B77" s="20" t="s">
        <v>1026</v>
      </c>
      <c r="C77" s="21" t="s">
        <v>77</v>
      </c>
      <c r="D77" s="677">
        <v>510</v>
      </c>
      <c r="E77" s="677" t="s">
        <v>37</v>
      </c>
      <c r="F77" s="22">
        <f>'Утверждено (ПДД)'!E13</f>
        <v>3951</v>
      </c>
      <c r="G77" s="22">
        <f>SUM(G78:G80)</f>
        <v>0</v>
      </c>
      <c r="H77" s="22">
        <f>SUM(H78:H80)</f>
        <v>0</v>
      </c>
      <c r="I77" s="34" t="s">
        <v>37</v>
      </c>
      <c r="K77" s="32" t="s">
        <v>75</v>
      </c>
      <c r="L77" s="692" t="s">
        <v>996</v>
      </c>
      <c r="M77" s="33" t="s">
        <v>78</v>
      </c>
      <c r="AW77" s="132"/>
      <c r="AX77" s="132"/>
      <c r="AY77" s="132"/>
      <c r="AZ77" s="132"/>
    </row>
    <row r="78" spans="2:52" ht="44.25" customHeight="1" x14ac:dyDescent="0.25">
      <c r="B78" s="20" t="s">
        <v>1027</v>
      </c>
      <c r="C78" s="21"/>
      <c r="D78" s="677">
        <v>510</v>
      </c>
      <c r="E78" s="677">
        <v>130</v>
      </c>
      <c r="F78" s="22"/>
      <c r="G78" s="22"/>
      <c r="H78" s="22"/>
      <c r="I78" s="34" t="s">
        <v>37</v>
      </c>
      <c r="K78" s="32"/>
      <c r="L78" s="692"/>
      <c r="M78" s="33"/>
      <c r="AW78" s="132"/>
      <c r="AX78" s="132"/>
      <c r="AY78" s="132"/>
      <c r="AZ78" s="132"/>
    </row>
    <row r="79" spans="2:52" x14ac:dyDescent="0.25">
      <c r="B79" s="20" t="s">
        <v>1028</v>
      </c>
      <c r="C79" s="21"/>
      <c r="D79" s="677">
        <v>510</v>
      </c>
      <c r="E79" s="677">
        <v>180</v>
      </c>
      <c r="F79" s="22"/>
      <c r="G79" s="22"/>
      <c r="H79" s="22"/>
      <c r="I79" s="34" t="s">
        <v>37</v>
      </c>
      <c r="K79" s="32"/>
      <c r="L79" s="692"/>
      <c r="M79" s="33"/>
      <c r="AW79" s="132"/>
      <c r="AX79" s="132"/>
      <c r="AY79" s="132"/>
      <c r="AZ79" s="132"/>
    </row>
    <row r="80" spans="2:52" x14ac:dyDescent="0.25">
      <c r="B80" s="20" t="s">
        <v>1029</v>
      </c>
      <c r="C80" s="21"/>
      <c r="D80" s="677">
        <v>510</v>
      </c>
      <c r="E80" s="677">
        <v>290</v>
      </c>
      <c r="F80" s="22"/>
      <c r="G80" s="22"/>
      <c r="H80" s="22"/>
      <c r="I80" s="34" t="s">
        <v>37</v>
      </c>
      <c r="K80" s="32"/>
      <c r="L80" s="692"/>
      <c r="M80" s="33"/>
      <c r="AW80" s="132"/>
      <c r="AX80" s="132"/>
      <c r="AY80" s="132"/>
      <c r="AZ80" s="132"/>
    </row>
    <row r="81" spans="1:52" s="28" customFormat="1" x14ac:dyDescent="0.25">
      <c r="A81" s="23"/>
      <c r="B81" s="24" t="s">
        <v>79</v>
      </c>
      <c r="C81" s="25" t="s">
        <v>80</v>
      </c>
      <c r="D81" s="26" t="s">
        <v>37</v>
      </c>
      <c r="E81" s="26" t="s">
        <v>37</v>
      </c>
      <c r="F81" s="27">
        <f>SUM(F82,F125,F146,F162,F182,F188,F228)</f>
        <v>31393494.780000001</v>
      </c>
      <c r="G81" s="27">
        <f>SUM(G82,G125,G146,G162,G182,G188,G228)</f>
        <v>24511852.859999999</v>
      </c>
      <c r="H81" s="27">
        <f>SUM(H82,H125,H146,H162,H182,H188,H228)</f>
        <v>24511852.859999999</v>
      </c>
      <c r="I81" s="27">
        <f>SUM(I82,I125,I146,I162,I182,I188,I228)</f>
        <v>0</v>
      </c>
      <c r="J81" s="141">
        <v>0</v>
      </c>
      <c r="K81" s="35"/>
      <c r="L81" s="692"/>
      <c r="M81" s="11"/>
      <c r="AW81" s="132"/>
      <c r="AX81" s="132"/>
      <c r="AY81" s="132"/>
      <c r="AZ81" s="132"/>
    </row>
    <row r="82" spans="1:52" ht="27.6" x14ac:dyDescent="0.25">
      <c r="B82" s="20" t="s">
        <v>1030</v>
      </c>
      <c r="C82" s="21" t="s">
        <v>82</v>
      </c>
      <c r="D82" s="677" t="s">
        <v>37</v>
      </c>
      <c r="E82" s="677" t="s">
        <v>37</v>
      </c>
      <c r="F82" s="22">
        <f>SUM(F83,F93,F106,F109)</f>
        <v>24053205.09</v>
      </c>
      <c r="G82" s="22">
        <f>SUM(G83,G93,G106,G109)</f>
        <v>18776186</v>
      </c>
      <c r="H82" s="22">
        <f>SUM(H83,H93,H106,H109)</f>
        <v>18776186</v>
      </c>
      <c r="I82" s="34" t="s">
        <v>37</v>
      </c>
      <c r="K82" s="32"/>
      <c r="L82" s="692"/>
      <c r="M82" s="33"/>
      <c r="AW82" s="132"/>
      <c r="AX82" s="132"/>
      <c r="AY82" s="132"/>
      <c r="AZ82" s="132"/>
    </row>
    <row r="83" spans="1:52" ht="27.6" x14ac:dyDescent="0.25">
      <c r="B83" s="20" t="s">
        <v>1031</v>
      </c>
      <c r="C83" s="21" t="s">
        <v>84</v>
      </c>
      <c r="D83" s="677">
        <v>111</v>
      </c>
      <c r="E83" s="677" t="s">
        <v>37</v>
      </c>
      <c r="F83" s="22">
        <f>SUM(F84,F87,F90)</f>
        <v>18308062.52</v>
      </c>
      <c r="G83" s="22">
        <f>SUM(G84,G87,G90)</f>
        <v>14409483</v>
      </c>
      <c r="H83" s="22">
        <f>SUM(H84,H87,H90)</f>
        <v>14409483</v>
      </c>
      <c r="I83" s="34" t="s">
        <v>37</v>
      </c>
      <c r="K83" s="32"/>
      <c r="L83" s="692"/>
      <c r="M83" s="33"/>
      <c r="AW83" s="132"/>
      <c r="AX83" s="132"/>
      <c r="AY83" s="132"/>
      <c r="AZ83" s="132"/>
    </row>
    <row r="84" spans="1:52" ht="79.5" customHeight="1" x14ac:dyDescent="0.25">
      <c r="B84" s="36" t="s">
        <v>1032</v>
      </c>
      <c r="C84" s="21" t="s">
        <v>85</v>
      </c>
      <c r="D84" s="677">
        <v>111</v>
      </c>
      <c r="E84" s="677" t="s">
        <v>37</v>
      </c>
      <c r="F84" s="22">
        <f>SUM(F85:F86)</f>
        <v>17917434</v>
      </c>
      <c r="G84" s="22">
        <f>SUM(G85:G86)</f>
        <v>14097409</v>
      </c>
      <c r="H84" s="22">
        <f>SUM(H85:H86)</f>
        <v>14097409</v>
      </c>
      <c r="I84" s="34" t="s">
        <v>37</v>
      </c>
      <c r="K84" s="32">
        <v>4</v>
      </c>
      <c r="L84" s="692" t="s">
        <v>86</v>
      </c>
      <c r="M84" s="33" t="s">
        <v>87</v>
      </c>
      <c r="AW84" s="132"/>
      <c r="AX84" s="132"/>
      <c r="AY84" s="132"/>
      <c r="AZ84" s="132"/>
    </row>
    <row r="85" spans="1:52" ht="45" customHeight="1" x14ac:dyDescent="0.25">
      <c r="B85" s="36" t="s">
        <v>1033</v>
      </c>
      <c r="C85" s="21"/>
      <c r="D85" s="677">
        <v>111</v>
      </c>
      <c r="E85" s="677">
        <v>210</v>
      </c>
      <c r="F85" s="22">
        <f>'Утверждено (МЗ,ИЦ,КАП)'!F112+'Утверждено (МЗ,ИЦ,КАП)'!F7</f>
        <v>17790400</v>
      </c>
      <c r="G85" s="22">
        <f>'Утверждено (МЗ,ИЦ,КАП)'!G112+'Утверждено (МЗ,ИЦ,КАП)'!G7</f>
        <v>13970375</v>
      </c>
      <c r="H85" s="22">
        <f>'Утверждено (МЗ,ИЦ,КАП)'!H112+'Утверждено (МЗ,ИЦ,КАП)'!H7</f>
        <v>13970374</v>
      </c>
      <c r="I85" s="34" t="s">
        <v>37</v>
      </c>
      <c r="K85" s="32"/>
      <c r="L85" s="692"/>
      <c r="M85" s="33"/>
      <c r="AW85" s="132"/>
      <c r="AX85" s="132"/>
      <c r="AY85" s="132"/>
      <c r="AZ85" s="132"/>
    </row>
    <row r="86" spans="1:52" x14ac:dyDescent="0.25">
      <c r="B86" s="36" t="s">
        <v>1034</v>
      </c>
      <c r="C86" s="21"/>
      <c r="D86" s="677">
        <v>111</v>
      </c>
      <c r="E86" s="677">
        <v>260</v>
      </c>
      <c r="F86" s="22">
        <f>'Утверждено (МЗ,ИЦ,КАП)'!I113+'Утверждено (МЗ,ИЦ,КАП)'!F8</f>
        <v>127034</v>
      </c>
      <c r="G86" s="22">
        <f>'Утверждено (МЗ,ИЦ,КАП)'!J113+'Утверждено (МЗ,ИЦ,КАП)'!G8</f>
        <v>127034</v>
      </c>
      <c r="H86" s="22">
        <f>'Утверждено (МЗ,ИЦ,КАП)'!K113+'Утверждено (МЗ,ИЦ,КАП)'!H8</f>
        <v>127035</v>
      </c>
      <c r="I86" s="34" t="s">
        <v>37</v>
      </c>
      <c r="K86" s="32"/>
      <c r="L86" s="692"/>
      <c r="M86" s="33"/>
      <c r="AW86" s="132"/>
      <c r="AX86" s="132"/>
      <c r="AY86" s="132"/>
      <c r="AZ86" s="132"/>
    </row>
    <row r="87" spans="1:52" ht="41.4" x14ac:dyDescent="0.25">
      <c r="B87" s="20" t="s">
        <v>1035</v>
      </c>
      <c r="C87" s="21" t="s">
        <v>88</v>
      </c>
      <c r="D87" s="677">
        <v>111</v>
      </c>
      <c r="E87" s="677" t="s">
        <v>37</v>
      </c>
      <c r="F87" s="22">
        <f>SUM(F88:F89)</f>
        <v>390628.52</v>
      </c>
      <c r="G87" s="22">
        <f t="shared" ref="G87:H87" si="0">SUM(G88:G89)</f>
        <v>312074</v>
      </c>
      <c r="H87" s="22">
        <f t="shared" si="0"/>
        <v>312074</v>
      </c>
      <c r="I87" s="34" t="s">
        <v>37</v>
      </c>
      <c r="K87" s="32">
        <v>2</v>
      </c>
      <c r="L87" s="692" t="s">
        <v>86</v>
      </c>
      <c r="M87" s="33" t="s">
        <v>87</v>
      </c>
      <c r="AW87" s="132"/>
      <c r="AX87" s="132"/>
      <c r="AY87" s="132"/>
      <c r="AZ87" s="132"/>
    </row>
    <row r="88" spans="1:52" ht="45" customHeight="1" x14ac:dyDescent="0.25">
      <c r="B88" s="36" t="s">
        <v>1036</v>
      </c>
      <c r="C88" s="21"/>
      <c r="D88" s="677">
        <v>111</v>
      </c>
      <c r="E88" s="677">
        <v>210</v>
      </c>
      <c r="F88" s="22">
        <f>'Утверждено (ПДД)'!E81</f>
        <v>389628.52</v>
      </c>
      <c r="G88" s="22">
        <f>'Утверждено (ПДД)'!F81</f>
        <v>311074</v>
      </c>
      <c r="H88" s="22">
        <f>'Утверждено (ПДД)'!G81</f>
        <v>311074</v>
      </c>
      <c r="I88" s="34" t="s">
        <v>37</v>
      </c>
      <c r="K88" s="32"/>
      <c r="L88" s="692"/>
      <c r="M88" s="33"/>
      <c r="AW88" s="132"/>
      <c r="AX88" s="132"/>
      <c r="AY88" s="132"/>
      <c r="AZ88" s="132"/>
    </row>
    <row r="89" spans="1:52" x14ac:dyDescent="0.25">
      <c r="B89" s="36" t="s">
        <v>1037</v>
      </c>
      <c r="C89" s="21"/>
      <c r="D89" s="677">
        <v>111</v>
      </c>
      <c r="E89" s="677">
        <v>260</v>
      </c>
      <c r="F89" s="22">
        <f>'Утверждено (ПДД)'!E82</f>
        <v>1000</v>
      </c>
      <c r="G89" s="22">
        <f>'Утверждено (ПДД)'!F82</f>
        <v>1000</v>
      </c>
      <c r="H89" s="22">
        <f>'Утверждено (ПДД)'!G82</f>
        <v>1000</v>
      </c>
      <c r="I89" s="34" t="s">
        <v>37</v>
      </c>
      <c r="K89" s="32"/>
      <c r="L89" s="692"/>
      <c r="M89" s="33"/>
      <c r="AW89" s="132"/>
      <c r="AX89" s="132"/>
      <c r="AY89" s="132"/>
      <c r="AZ89" s="132"/>
    </row>
    <row r="90" spans="1:52" x14ac:dyDescent="0.25">
      <c r="B90" s="20" t="s">
        <v>1038</v>
      </c>
      <c r="C90" s="21" t="s">
        <v>89</v>
      </c>
      <c r="D90" s="677">
        <v>111</v>
      </c>
      <c r="E90" s="677" t="s">
        <v>37</v>
      </c>
      <c r="F90" s="22">
        <f>SUM(F91:F92)</f>
        <v>0</v>
      </c>
      <c r="G90" s="22">
        <f>SUM(G91:G92)</f>
        <v>0</v>
      </c>
      <c r="H90" s="22">
        <f>SUM(H91:H92)</f>
        <v>0</v>
      </c>
      <c r="I90" s="34" t="s">
        <v>37</v>
      </c>
      <c r="K90" s="32">
        <v>5</v>
      </c>
      <c r="L90" s="692" t="s">
        <v>86</v>
      </c>
      <c r="M90" s="33" t="s">
        <v>87</v>
      </c>
      <c r="AW90" s="132"/>
      <c r="AX90" s="132"/>
      <c r="AY90" s="132"/>
      <c r="AZ90" s="132"/>
    </row>
    <row r="91" spans="1:52" ht="45" customHeight="1" x14ac:dyDescent="0.25">
      <c r="B91" s="36" t="s">
        <v>1036</v>
      </c>
      <c r="C91" s="21"/>
      <c r="D91" s="677">
        <v>111</v>
      </c>
      <c r="E91" s="677">
        <v>210</v>
      </c>
      <c r="F91" s="22">
        <f>'Утверждено (МЗ,ИЦ,КАП)'!I249</f>
        <v>0</v>
      </c>
      <c r="G91" s="22">
        <f>'Утверждено (МЗ,ИЦ,КАП)'!J249</f>
        <v>0</v>
      </c>
      <c r="H91" s="22">
        <f>'Утверждено (МЗ,ИЦ,КАП)'!K249</f>
        <v>0</v>
      </c>
      <c r="I91" s="34" t="s">
        <v>37</v>
      </c>
      <c r="K91" s="32"/>
      <c r="L91" s="692"/>
      <c r="M91" s="33"/>
      <c r="AW91" s="132"/>
      <c r="AX91" s="132"/>
      <c r="AY91" s="132"/>
      <c r="AZ91" s="132"/>
    </row>
    <row r="92" spans="1:52" x14ac:dyDescent="0.25">
      <c r="B92" s="36" t="s">
        <v>1037</v>
      </c>
      <c r="C92" s="21"/>
      <c r="D92" s="677">
        <v>111</v>
      </c>
      <c r="E92" s="677">
        <v>260</v>
      </c>
      <c r="F92" s="22">
        <f>'Утверждено (МЗ,ИЦ,КАП)'!I250</f>
        <v>0</v>
      </c>
      <c r="G92" s="22">
        <f>'Утверждено (МЗ,ИЦ,КАП)'!J250</f>
        <v>0</v>
      </c>
      <c r="H92" s="22">
        <f>'Утверждено (МЗ,ИЦ,КАП)'!K250</f>
        <v>0</v>
      </c>
      <c r="I92" s="34" t="s">
        <v>37</v>
      </c>
      <c r="K92" s="32"/>
      <c r="L92" s="692"/>
      <c r="M92" s="33"/>
      <c r="AW92" s="132"/>
      <c r="AX92" s="132"/>
      <c r="AY92" s="132"/>
      <c r="AZ92" s="132"/>
    </row>
    <row r="93" spans="1:52" ht="27.6" x14ac:dyDescent="0.25">
      <c r="B93" s="20" t="s">
        <v>1039</v>
      </c>
      <c r="C93" s="21" t="s">
        <v>91</v>
      </c>
      <c r="D93" s="677">
        <v>112</v>
      </c>
      <c r="E93" s="677" t="s">
        <v>37</v>
      </c>
      <c r="F93" s="22">
        <f>SUM(F94,F98,F102)</f>
        <v>0</v>
      </c>
      <c r="G93" s="22">
        <f>SUM(G94,G98,G102)</f>
        <v>0</v>
      </c>
      <c r="H93" s="22">
        <f>SUM(H94,H98,H102)</f>
        <v>0</v>
      </c>
      <c r="I93" s="34" t="s">
        <v>37</v>
      </c>
      <c r="K93" s="32"/>
      <c r="L93" s="692"/>
      <c r="M93" s="33"/>
      <c r="AW93" s="132"/>
      <c r="AX93" s="132"/>
      <c r="AY93" s="132"/>
      <c r="AZ93" s="132"/>
    </row>
    <row r="94" spans="1:52" ht="77.25" customHeight="1" x14ac:dyDescent="0.25">
      <c r="B94" s="36" t="s">
        <v>1040</v>
      </c>
      <c r="C94" s="21" t="s">
        <v>92</v>
      </c>
      <c r="D94" s="677">
        <v>112</v>
      </c>
      <c r="E94" s="677" t="s">
        <v>37</v>
      </c>
      <c r="F94" s="22">
        <f>SUM(F95:F97)</f>
        <v>0</v>
      </c>
      <c r="G94" s="22">
        <f>SUM(G95:G97)</f>
        <v>0</v>
      </c>
      <c r="H94" s="22">
        <f>SUM(H95:H97)</f>
        <v>0</v>
      </c>
      <c r="I94" s="34" t="s">
        <v>37</v>
      </c>
      <c r="K94" s="32">
        <v>4</v>
      </c>
      <c r="L94" s="692" t="s">
        <v>997</v>
      </c>
      <c r="M94" s="33" t="s">
        <v>93</v>
      </c>
      <c r="AW94" s="132"/>
      <c r="AX94" s="132"/>
      <c r="AY94" s="132"/>
      <c r="AZ94" s="132"/>
    </row>
    <row r="95" spans="1:52" ht="45" customHeight="1" x14ac:dyDescent="0.25">
      <c r="B95" s="36" t="s">
        <v>1041</v>
      </c>
      <c r="C95" s="21"/>
      <c r="D95" s="677">
        <v>112</v>
      </c>
      <c r="E95" s="677">
        <v>210</v>
      </c>
      <c r="F95" s="22"/>
      <c r="G95" s="22"/>
      <c r="H95" s="22"/>
      <c r="I95" s="34" t="s">
        <v>37</v>
      </c>
      <c r="K95" s="32"/>
      <c r="L95" s="692"/>
      <c r="M95" s="33"/>
      <c r="AW95" s="132"/>
      <c r="AX95" s="132"/>
      <c r="AY95" s="132"/>
      <c r="AZ95" s="132"/>
    </row>
    <row r="96" spans="1:52" x14ac:dyDescent="0.25">
      <c r="B96" s="36" t="s">
        <v>1042</v>
      </c>
      <c r="C96" s="21"/>
      <c r="D96" s="677">
        <v>112</v>
      </c>
      <c r="E96" s="677">
        <v>220</v>
      </c>
      <c r="F96" s="22"/>
      <c r="G96" s="22"/>
      <c r="H96" s="22"/>
      <c r="I96" s="34" t="s">
        <v>37</v>
      </c>
      <c r="K96" s="32"/>
      <c r="L96" s="692"/>
      <c r="M96" s="33"/>
      <c r="AW96" s="132"/>
      <c r="AX96" s="132"/>
      <c r="AY96" s="132"/>
      <c r="AZ96" s="132"/>
    </row>
    <row r="97" spans="2:52" x14ac:dyDescent="0.25">
      <c r="B97" s="36" t="s">
        <v>1043</v>
      </c>
      <c r="C97" s="21"/>
      <c r="D97" s="677">
        <v>112</v>
      </c>
      <c r="E97" s="677">
        <v>260</v>
      </c>
      <c r="F97" s="22"/>
      <c r="G97" s="22"/>
      <c r="H97" s="22"/>
      <c r="I97" s="34" t="s">
        <v>37</v>
      </c>
      <c r="K97" s="32"/>
      <c r="L97" s="692"/>
      <c r="M97" s="33"/>
      <c r="AW97" s="132"/>
      <c r="AX97" s="132"/>
      <c r="AY97" s="132"/>
      <c r="AZ97" s="132"/>
    </row>
    <row r="98" spans="2:52" ht="41.4" x14ac:dyDescent="0.25">
      <c r="B98" s="20" t="s">
        <v>1044</v>
      </c>
      <c r="C98" s="21" t="s">
        <v>94</v>
      </c>
      <c r="D98" s="677">
        <v>112</v>
      </c>
      <c r="E98" s="677" t="s">
        <v>37</v>
      </c>
      <c r="F98" s="22">
        <f>SUM(F99:F101)</f>
        <v>0</v>
      </c>
      <c r="G98" s="22">
        <f>SUM(G99:G101)</f>
        <v>0</v>
      </c>
      <c r="H98" s="22">
        <f>SUM(H99:H101)</f>
        <v>0</v>
      </c>
      <c r="I98" s="34" t="s">
        <v>37</v>
      </c>
      <c r="K98" s="32">
        <v>2</v>
      </c>
      <c r="L98" s="692" t="s">
        <v>997</v>
      </c>
      <c r="M98" s="33" t="s">
        <v>93</v>
      </c>
      <c r="AW98" s="132"/>
      <c r="AX98" s="132"/>
      <c r="AY98" s="132"/>
      <c r="AZ98" s="132"/>
    </row>
    <row r="99" spans="2:52" ht="45" customHeight="1" x14ac:dyDescent="0.25">
      <c r="B99" s="36" t="s">
        <v>1041</v>
      </c>
      <c r="C99" s="21"/>
      <c r="D99" s="677">
        <v>112</v>
      </c>
      <c r="E99" s="677">
        <v>210</v>
      </c>
      <c r="F99" s="22"/>
      <c r="G99" s="22"/>
      <c r="H99" s="22"/>
      <c r="I99" s="34" t="s">
        <v>37</v>
      </c>
      <c r="K99" s="32"/>
      <c r="L99" s="692"/>
      <c r="M99" s="33"/>
      <c r="AW99" s="132"/>
      <c r="AX99" s="132"/>
      <c r="AY99" s="132"/>
      <c r="AZ99" s="132"/>
    </row>
    <row r="100" spans="2:52" x14ac:dyDescent="0.25">
      <c r="B100" s="36" t="s">
        <v>1042</v>
      </c>
      <c r="C100" s="21"/>
      <c r="D100" s="677">
        <v>112</v>
      </c>
      <c r="E100" s="677">
        <v>220</v>
      </c>
      <c r="F100" s="22"/>
      <c r="G100" s="22"/>
      <c r="H100" s="22"/>
      <c r="I100" s="34" t="s">
        <v>37</v>
      </c>
      <c r="K100" s="32"/>
      <c r="L100" s="692"/>
      <c r="M100" s="33"/>
      <c r="AW100" s="132"/>
      <c r="AX100" s="132"/>
      <c r="AY100" s="132"/>
      <c r="AZ100" s="132"/>
    </row>
    <row r="101" spans="2:52" x14ac:dyDescent="0.25">
      <c r="B101" s="36" t="s">
        <v>1043</v>
      </c>
      <c r="C101" s="21"/>
      <c r="D101" s="677">
        <v>112</v>
      </c>
      <c r="E101" s="677">
        <v>260</v>
      </c>
      <c r="F101" s="22"/>
      <c r="G101" s="22"/>
      <c r="H101" s="22"/>
      <c r="I101" s="34" t="s">
        <v>37</v>
      </c>
      <c r="K101" s="32"/>
      <c r="L101" s="692"/>
      <c r="M101" s="33"/>
      <c r="AW101" s="132"/>
      <c r="AX101" s="132"/>
      <c r="AY101" s="132"/>
      <c r="AZ101" s="132"/>
    </row>
    <row r="102" spans="2:52" x14ac:dyDescent="0.25">
      <c r="B102" s="20" t="s">
        <v>1045</v>
      </c>
      <c r="C102" s="21" t="s">
        <v>397</v>
      </c>
      <c r="D102" s="677">
        <v>112</v>
      </c>
      <c r="E102" s="677" t="s">
        <v>37</v>
      </c>
      <c r="F102" s="22">
        <f>SUM(F103:F105)</f>
        <v>0</v>
      </c>
      <c r="G102" s="22">
        <f>SUM(G103:G105)</f>
        <v>0</v>
      </c>
      <c r="H102" s="22">
        <f>SUM(H103:H105)</f>
        <v>0</v>
      </c>
      <c r="I102" s="34" t="s">
        <v>37</v>
      </c>
      <c r="K102" s="32">
        <v>5</v>
      </c>
      <c r="L102" s="692" t="s">
        <v>997</v>
      </c>
      <c r="M102" s="33" t="s">
        <v>93</v>
      </c>
      <c r="AW102" s="132"/>
      <c r="AX102" s="132"/>
      <c r="AY102" s="132"/>
      <c r="AZ102" s="132"/>
    </row>
    <row r="103" spans="2:52" ht="45" customHeight="1" x14ac:dyDescent="0.25">
      <c r="B103" s="36" t="s">
        <v>1041</v>
      </c>
      <c r="C103" s="21"/>
      <c r="D103" s="677">
        <v>112</v>
      </c>
      <c r="E103" s="677">
        <v>210</v>
      </c>
      <c r="F103" s="22"/>
      <c r="G103" s="22"/>
      <c r="H103" s="22"/>
      <c r="I103" s="34" t="s">
        <v>37</v>
      </c>
      <c r="K103" s="32"/>
      <c r="L103" s="692"/>
      <c r="M103" s="33"/>
      <c r="AW103" s="132"/>
      <c r="AX103" s="132"/>
      <c r="AY103" s="132"/>
      <c r="AZ103" s="132"/>
    </row>
    <row r="104" spans="2:52" x14ac:dyDescent="0.25">
      <c r="B104" s="36" t="s">
        <v>1042</v>
      </c>
      <c r="C104" s="21"/>
      <c r="D104" s="677">
        <v>112</v>
      </c>
      <c r="E104" s="677">
        <v>220</v>
      </c>
      <c r="F104" s="22"/>
      <c r="G104" s="22"/>
      <c r="H104" s="22"/>
      <c r="I104" s="34" t="s">
        <v>37</v>
      </c>
      <c r="K104" s="32"/>
      <c r="L104" s="692"/>
      <c r="M104" s="33"/>
      <c r="AW104" s="132"/>
      <c r="AX104" s="132"/>
      <c r="AY104" s="132"/>
      <c r="AZ104" s="132"/>
    </row>
    <row r="105" spans="2:52" x14ac:dyDescent="0.25">
      <c r="B105" s="36" t="s">
        <v>1043</v>
      </c>
      <c r="C105" s="21"/>
      <c r="D105" s="677">
        <v>112</v>
      </c>
      <c r="E105" s="677">
        <v>260</v>
      </c>
      <c r="F105" s="22"/>
      <c r="G105" s="22"/>
      <c r="H105" s="22"/>
      <c r="I105" s="34" t="s">
        <v>37</v>
      </c>
      <c r="K105" s="32"/>
      <c r="L105" s="692"/>
      <c r="M105" s="33"/>
      <c r="AW105" s="132"/>
      <c r="AX105" s="132"/>
      <c r="AY105" s="132"/>
      <c r="AZ105" s="132"/>
    </row>
    <row r="106" spans="2:52" ht="46.5" customHeight="1" x14ac:dyDescent="0.25">
      <c r="B106" s="20" t="s">
        <v>1046</v>
      </c>
      <c r="C106" s="21" t="s">
        <v>96</v>
      </c>
      <c r="D106" s="677">
        <v>113</v>
      </c>
      <c r="E106" s="677" t="s">
        <v>37</v>
      </c>
      <c r="F106" s="22">
        <f>SUM(F107:F108)</f>
        <v>0</v>
      </c>
      <c r="G106" s="22">
        <f>SUM(G107:G108)</f>
        <v>0</v>
      </c>
      <c r="H106" s="22">
        <f>SUM(H107:H108)</f>
        <v>0</v>
      </c>
      <c r="I106" s="34" t="s">
        <v>37</v>
      </c>
      <c r="K106" s="32"/>
      <c r="L106" s="692"/>
      <c r="M106" s="33"/>
      <c r="AW106" s="132"/>
      <c r="AX106" s="132"/>
      <c r="AY106" s="132"/>
      <c r="AZ106" s="132"/>
    </row>
    <row r="107" spans="2:52" ht="76.5" customHeight="1" x14ac:dyDescent="0.25">
      <c r="B107" s="36" t="s">
        <v>1047</v>
      </c>
      <c r="C107" s="21" t="s">
        <v>97</v>
      </c>
      <c r="D107" s="677">
        <v>113</v>
      </c>
      <c r="E107" s="677">
        <v>220</v>
      </c>
      <c r="F107" s="22"/>
      <c r="G107" s="22"/>
      <c r="H107" s="22"/>
      <c r="I107" s="34" t="s">
        <v>37</v>
      </c>
      <c r="K107" s="32">
        <v>4</v>
      </c>
      <c r="L107" s="692">
        <v>226</v>
      </c>
      <c r="M107" s="33" t="s">
        <v>98</v>
      </c>
      <c r="AW107" s="132"/>
      <c r="AX107" s="132"/>
      <c r="AY107" s="132"/>
      <c r="AZ107" s="132"/>
    </row>
    <row r="108" spans="2:52" ht="41.4" x14ac:dyDescent="0.25">
      <c r="B108" s="20" t="s">
        <v>1048</v>
      </c>
      <c r="C108" s="21" t="s">
        <v>99</v>
      </c>
      <c r="D108" s="677">
        <v>113</v>
      </c>
      <c r="E108" s="677">
        <v>220</v>
      </c>
      <c r="F108" s="22"/>
      <c r="G108" s="22"/>
      <c r="H108" s="22"/>
      <c r="I108" s="34" t="s">
        <v>37</v>
      </c>
      <c r="K108" s="32">
        <v>2</v>
      </c>
      <c r="L108" s="692">
        <v>226</v>
      </c>
      <c r="M108" s="33" t="s">
        <v>98</v>
      </c>
      <c r="AW108" s="132"/>
      <c r="AX108" s="132"/>
      <c r="AY108" s="132"/>
      <c r="AZ108" s="132"/>
    </row>
    <row r="109" spans="2:52" ht="58.5" customHeight="1" x14ac:dyDescent="0.25">
      <c r="B109" s="20" t="s">
        <v>1049</v>
      </c>
      <c r="C109" s="21" t="s">
        <v>101</v>
      </c>
      <c r="D109" s="677">
        <v>119</v>
      </c>
      <c r="E109" s="677" t="s">
        <v>37</v>
      </c>
      <c r="F109" s="22">
        <f>SUM(F110,F120)</f>
        <v>5745142.5700000003</v>
      </c>
      <c r="G109" s="22">
        <f>SUM(G110,G120)</f>
        <v>4366703</v>
      </c>
      <c r="H109" s="22">
        <f>SUM(H110,H120)</f>
        <v>4366703</v>
      </c>
      <c r="I109" s="34" t="s">
        <v>37</v>
      </c>
      <c r="K109" s="32"/>
      <c r="L109" s="692"/>
      <c r="M109" s="33"/>
      <c r="AW109" s="132"/>
      <c r="AX109" s="132"/>
      <c r="AY109" s="132"/>
      <c r="AZ109" s="132"/>
    </row>
    <row r="110" spans="2:52" ht="27.6" x14ac:dyDescent="0.25">
      <c r="B110" s="20" t="s">
        <v>1050</v>
      </c>
      <c r="C110" s="21" t="s">
        <v>103</v>
      </c>
      <c r="D110" s="677">
        <v>119</v>
      </c>
      <c r="E110" s="677" t="s">
        <v>37</v>
      </c>
      <c r="F110" s="22">
        <f>SUM(F111,F114,F117)</f>
        <v>5745142.5700000003</v>
      </c>
      <c r="G110" s="22">
        <f>SUM(G111,G114,G117)</f>
        <v>4366703</v>
      </c>
      <c r="H110" s="22">
        <f>SUM(H111,H114,H117)</f>
        <v>4366703</v>
      </c>
      <c r="I110" s="34" t="s">
        <v>37</v>
      </c>
      <c r="K110" s="32"/>
      <c r="L110" s="692"/>
      <c r="M110" s="33"/>
      <c r="AW110" s="132"/>
      <c r="AX110" s="132"/>
      <c r="AY110" s="132"/>
      <c r="AZ110" s="132"/>
    </row>
    <row r="111" spans="2:52" ht="91.5" customHeight="1" x14ac:dyDescent="0.25">
      <c r="B111" s="36" t="s">
        <v>1051</v>
      </c>
      <c r="C111" s="21"/>
      <c r="D111" s="677">
        <v>119</v>
      </c>
      <c r="E111" s="677" t="s">
        <v>37</v>
      </c>
      <c r="F111" s="22">
        <f>SUM(F112:F113)</f>
        <v>5630106.4500000002</v>
      </c>
      <c r="G111" s="22">
        <f>SUM(G112:G113)</f>
        <v>4272457</v>
      </c>
      <c r="H111" s="22">
        <f>SUM(H112:H113)</f>
        <v>4272457</v>
      </c>
      <c r="I111" s="34" t="s">
        <v>37</v>
      </c>
      <c r="K111" s="32">
        <v>4</v>
      </c>
      <c r="L111" s="693" t="s">
        <v>1052</v>
      </c>
      <c r="M111" s="33" t="s">
        <v>1053</v>
      </c>
      <c r="AW111" s="132"/>
      <c r="AX111" s="132"/>
      <c r="AY111" s="132"/>
      <c r="AZ111" s="132"/>
    </row>
    <row r="112" spans="2:52" ht="44.25" customHeight="1" x14ac:dyDescent="0.25">
      <c r="B112" s="36" t="s">
        <v>1054</v>
      </c>
      <c r="C112" s="21"/>
      <c r="D112" s="677">
        <v>119</v>
      </c>
      <c r="E112" s="677">
        <v>210</v>
      </c>
      <c r="F112" s="22">
        <f>'Утверждено (МЗ,ИЦ,КАП)'!F12+'Утверждено (МЗ,ИЦ,КАП)'!F117</f>
        <v>5630106.4500000002</v>
      </c>
      <c r="G112" s="22">
        <f>'Утверждено (МЗ,ИЦ,КАП)'!G12+'Утверждено (МЗ,ИЦ,КАП)'!G117</f>
        <v>4272457</v>
      </c>
      <c r="H112" s="22">
        <f>'Утверждено (МЗ,ИЦ,КАП)'!H12+'Утверждено (МЗ,ИЦ,КАП)'!H117</f>
        <v>4272457</v>
      </c>
      <c r="I112" s="34" t="s">
        <v>37</v>
      </c>
      <c r="K112" s="32"/>
      <c r="L112" s="692"/>
      <c r="M112" s="33"/>
      <c r="AW112" s="132"/>
      <c r="AX112" s="132"/>
      <c r="AY112" s="132"/>
      <c r="AZ112" s="132"/>
    </row>
    <row r="113" spans="2:52" x14ac:dyDescent="0.25">
      <c r="B113" s="36" t="s">
        <v>1055</v>
      </c>
      <c r="C113" s="21"/>
      <c r="D113" s="677">
        <v>119</v>
      </c>
      <c r="E113" s="677">
        <v>220</v>
      </c>
      <c r="F113" s="22"/>
      <c r="G113" s="22"/>
      <c r="H113" s="22"/>
      <c r="I113" s="34" t="s">
        <v>37</v>
      </c>
      <c r="K113" s="32"/>
      <c r="L113" s="692"/>
      <c r="M113" s="33" t="s">
        <v>1174</v>
      </c>
      <c r="AW113" s="132"/>
      <c r="AX113" s="132"/>
      <c r="AY113" s="132"/>
      <c r="AZ113" s="132"/>
    </row>
    <row r="114" spans="2:52" ht="41.4" x14ac:dyDescent="0.25">
      <c r="B114" s="20" t="s">
        <v>1056</v>
      </c>
      <c r="C114" s="21"/>
      <c r="D114" s="677">
        <v>119</v>
      </c>
      <c r="E114" s="677" t="s">
        <v>37</v>
      </c>
      <c r="F114" s="22">
        <f>SUM(F115:F116)</f>
        <v>115036.12</v>
      </c>
      <c r="G114" s="22">
        <f>SUM(G115:G116)</f>
        <v>94246</v>
      </c>
      <c r="H114" s="22">
        <f>SUM(H115:H116)</f>
        <v>94246</v>
      </c>
      <c r="I114" s="34" t="s">
        <v>37</v>
      </c>
      <c r="K114" s="32">
        <v>2</v>
      </c>
      <c r="L114" s="693" t="s">
        <v>1052</v>
      </c>
      <c r="M114" s="33" t="s">
        <v>1053</v>
      </c>
      <c r="AW114" s="132"/>
      <c r="AX114" s="132"/>
      <c r="AY114" s="132"/>
      <c r="AZ114" s="132"/>
    </row>
    <row r="115" spans="2:52" ht="44.25" customHeight="1" x14ac:dyDescent="0.25">
      <c r="B115" s="36" t="s">
        <v>1054</v>
      </c>
      <c r="C115" s="21"/>
      <c r="D115" s="677">
        <v>119</v>
      </c>
      <c r="E115" s="677">
        <v>210</v>
      </c>
      <c r="F115" s="22">
        <f>'Утверждено (ПДД)'!E86+'Утверждено (ПДД)'!E175</f>
        <v>115036.12</v>
      </c>
      <c r="G115" s="22">
        <f>'Утверждено (ПДД)'!F86</f>
        <v>94246</v>
      </c>
      <c r="H115" s="22">
        <f>'Утверждено (ПДД)'!G86</f>
        <v>94246</v>
      </c>
      <c r="I115" s="34" t="s">
        <v>37</v>
      </c>
      <c r="K115" s="32"/>
      <c r="L115" s="692"/>
      <c r="M115" s="33"/>
      <c r="AW115" s="132"/>
      <c r="AX115" s="132"/>
      <c r="AY115" s="132"/>
      <c r="AZ115" s="132"/>
    </row>
    <row r="116" spans="2:52" x14ac:dyDescent="0.25">
      <c r="B116" s="36" t="s">
        <v>1055</v>
      </c>
      <c r="C116" s="21"/>
      <c r="D116" s="677">
        <v>119</v>
      </c>
      <c r="E116" s="677">
        <v>220</v>
      </c>
      <c r="F116" s="22"/>
      <c r="G116" s="22"/>
      <c r="H116" s="22"/>
      <c r="I116" s="34" t="s">
        <v>37</v>
      </c>
      <c r="K116" s="32"/>
      <c r="L116" s="692"/>
      <c r="M116" s="33" t="s">
        <v>1174</v>
      </c>
      <c r="AW116" s="132"/>
      <c r="AX116" s="132"/>
      <c r="AY116" s="132"/>
      <c r="AZ116" s="132"/>
    </row>
    <row r="117" spans="2:52" x14ac:dyDescent="0.25">
      <c r="B117" s="20" t="s">
        <v>1057</v>
      </c>
      <c r="C117" s="21"/>
      <c r="D117" s="677">
        <v>119</v>
      </c>
      <c r="E117" s="677" t="s">
        <v>37</v>
      </c>
      <c r="F117" s="22">
        <f>SUM(F118:F119)</f>
        <v>0</v>
      </c>
      <c r="G117" s="22">
        <f>SUM(G118:G119)</f>
        <v>0</v>
      </c>
      <c r="H117" s="22">
        <f>SUM(H118:H119)</f>
        <v>0</v>
      </c>
      <c r="I117" s="34" t="s">
        <v>37</v>
      </c>
      <c r="K117" s="32">
        <v>5</v>
      </c>
      <c r="L117" s="693" t="s">
        <v>1052</v>
      </c>
      <c r="M117" s="33" t="s">
        <v>1053</v>
      </c>
      <c r="AW117" s="132"/>
      <c r="AX117" s="132"/>
      <c r="AY117" s="132"/>
      <c r="AZ117" s="132"/>
    </row>
    <row r="118" spans="2:52" ht="44.25" customHeight="1" x14ac:dyDescent="0.25">
      <c r="B118" s="36" t="s">
        <v>1054</v>
      </c>
      <c r="C118" s="21"/>
      <c r="D118" s="677">
        <v>119</v>
      </c>
      <c r="E118" s="677">
        <v>210</v>
      </c>
      <c r="F118" s="22">
        <f>'Утверждено (МЗ,ИЦ,КАП)'!I250</f>
        <v>0</v>
      </c>
      <c r="G118" s="22">
        <f>'Утверждено (МЗ,ИЦ,КАП)'!J250</f>
        <v>0</v>
      </c>
      <c r="H118" s="22">
        <f>'Утверждено (МЗ,ИЦ,КАП)'!K250</f>
        <v>0</v>
      </c>
      <c r="I118" s="34" t="s">
        <v>37</v>
      </c>
      <c r="K118" s="32"/>
      <c r="L118" s="692"/>
      <c r="M118" s="33"/>
      <c r="AW118" s="132"/>
      <c r="AX118" s="132"/>
      <c r="AY118" s="132"/>
      <c r="AZ118" s="132"/>
    </row>
    <row r="119" spans="2:52" x14ac:dyDescent="0.25">
      <c r="B119" s="36" t="s">
        <v>1055</v>
      </c>
      <c r="C119" s="21"/>
      <c r="D119" s="677">
        <v>119</v>
      </c>
      <c r="E119" s="677">
        <v>220</v>
      </c>
      <c r="F119" s="22"/>
      <c r="G119" s="22"/>
      <c r="H119" s="22"/>
      <c r="I119" s="34" t="s">
        <v>37</v>
      </c>
      <c r="K119" s="32"/>
      <c r="L119" s="692"/>
      <c r="M119" s="33"/>
      <c r="AW119" s="132"/>
      <c r="AX119" s="132"/>
      <c r="AY119" s="132"/>
      <c r="AZ119" s="132"/>
    </row>
    <row r="120" spans="2:52" x14ac:dyDescent="0.25">
      <c r="B120" s="20" t="s">
        <v>1058</v>
      </c>
      <c r="C120" s="21" t="s">
        <v>106</v>
      </c>
      <c r="D120" s="677">
        <v>119</v>
      </c>
      <c r="E120" s="677" t="s">
        <v>37</v>
      </c>
      <c r="F120" s="22">
        <f>SUM(F121,F123)</f>
        <v>0</v>
      </c>
      <c r="G120" s="22">
        <f>SUM(G121,G123)</f>
        <v>0</v>
      </c>
      <c r="H120" s="22">
        <f>SUM(H121,H123)</f>
        <v>0</v>
      </c>
      <c r="I120" s="34" t="s">
        <v>37</v>
      </c>
      <c r="K120" s="32"/>
      <c r="L120" s="692"/>
      <c r="M120" s="33"/>
      <c r="AW120" s="132"/>
      <c r="AX120" s="132"/>
      <c r="AY120" s="132"/>
      <c r="AZ120" s="132"/>
    </row>
    <row r="121" spans="2:52" ht="92.25" customHeight="1" x14ac:dyDescent="0.25">
      <c r="B121" s="36" t="s">
        <v>1059</v>
      </c>
      <c r="C121" s="21"/>
      <c r="D121" s="677">
        <v>119</v>
      </c>
      <c r="E121" s="677" t="s">
        <v>37</v>
      </c>
      <c r="F121" s="22">
        <f>SUM(F122)</f>
        <v>0</v>
      </c>
      <c r="G121" s="22">
        <f>SUM(G122)</f>
        <v>0</v>
      </c>
      <c r="H121" s="22">
        <f>SUM(H122)</f>
        <v>0</v>
      </c>
      <c r="I121" s="34" t="s">
        <v>37</v>
      </c>
      <c r="K121" s="32">
        <v>4</v>
      </c>
      <c r="L121" s="693" t="s">
        <v>1060</v>
      </c>
      <c r="M121" t="s">
        <v>1061</v>
      </c>
      <c r="AW121" s="132"/>
      <c r="AX121" s="132"/>
      <c r="AY121" s="132"/>
      <c r="AZ121" s="132"/>
    </row>
    <row r="122" spans="2:52" ht="27.6" x14ac:dyDescent="0.25">
      <c r="B122" s="36" t="s">
        <v>1062</v>
      </c>
      <c r="C122" s="21"/>
      <c r="D122" s="677">
        <v>119</v>
      </c>
      <c r="E122" s="677">
        <v>260</v>
      </c>
      <c r="F122" s="22"/>
      <c r="G122" s="22"/>
      <c r="H122" s="22"/>
      <c r="I122" s="34" t="s">
        <v>37</v>
      </c>
      <c r="K122" s="32"/>
      <c r="L122" s="692"/>
      <c r="M122" s="33"/>
      <c r="AW122" s="132"/>
      <c r="AX122" s="132"/>
      <c r="AY122" s="132"/>
      <c r="AZ122" s="132"/>
    </row>
    <row r="123" spans="2:52" ht="45" customHeight="1" x14ac:dyDescent="0.25">
      <c r="B123" s="20" t="s">
        <v>1063</v>
      </c>
      <c r="C123" s="21"/>
      <c r="D123" s="677">
        <v>119</v>
      </c>
      <c r="E123" s="677" t="s">
        <v>37</v>
      </c>
      <c r="F123" s="22">
        <f>SUM(F124)</f>
        <v>0</v>
      </c>
      <c r="G123" s="22">
        <f>SUM(G124)</f>
        <v>0</v>
      </c>
      <c r="H123" s="22">
        <f>SUM(H124)</f>
        <v>0</v>
      </c>
      <c r="I123" s="34" t="s">
        <v>37</v>
      </c>
      <c r="K123" s="32">
        <v>2</v>
      </c>
      <c r="L123" s="693" t="s">
        <v>1060</v>
      </c>
      <c r="M123" t="s">
        <v>1061</v>
      </c>
      <c r="AW123" s="132"/>
      <c r="AX123" s="132"/>
      <c r="AY123" s="132"/>
      <c r="AZ123" s="132"/>
    </row>
    <row r="124" spans="2:52" ht="27.6" x14ac:dyDescent="0.25">
      <c r="B124" s="36" t="s">
        <v>1062</v>
      </c>
      <c r="C124" s="21"/>
      <c r="D124" s="677">
        <v>119</v>
      </c>
      <c r="E124" s="677">
        <v>260</v>
      </c>
      <c r="F124" s="22"/>
      <c r="G124" s="22"/>
      <c r="H124" s="22"/>
      <c r="I124" s="34" t="s">
        <v>37</v>
      </c>
      <c r="K124" s="32"/>
      <c r="L124" s="692"/>
      <c r="M124" s="33"/>
      <c r="AW124" s="132"/>
      <c r="AX124" s="132"/>
      <c r="AY124" s="132"/>
      <c r="AZ124" s="132"/>
    </row>
    <row r="125" spans="2:52" x14ac:dyDescent="0.25">
      <c r="B125" s="20" t="s">
        <v>107</v>
      </c>
      <c r="C125" s="21" t="s">
        <v>108</v>
      </c>
      <c r="D125" s="677">
        <v>300</v>
      </c>
      <c r="E125" s="677" t="s">
        <v>37</v>
      </c>
      <c r="F125" s="22">
        <f>SUM(F126,F139,F142,F144)</f>
        <v>0</v>
      </c>
      <c r="G125" s="22">
        <f>SUM(G126,G139,G142,G144)</f>
        <v>0</v>
      </c>
      <c r="H125" s="22">
        <f>SUM(H126,H139,H142,H144)</f>
        <v>0</v>
      </c>
      <c r="I125" s="34" t="s">
        <v>37</v>
      </c>
      <c r="K125" s="32"/>
      <c r="L125" s="692"/>
      <c r="M125" s="33"/>
      <c r="AW125" s="132"/>
      <c r="AX125" s="132"/>
      <c r="AY125" s="132"/>
      <c r="AZ125" s="132"/>
    </row>
    <row r="126" spans="2:52" ht="41.4" x14ac:dyDescent="0.25">
      <c r="B126" s="20" t="s">
        <v>1064</v>
      </c>
      <c r="C126" s="21" t="s">
        <v>110</v>
      </c>
      <c r="D126" s="677">
        <v>320</v>
      </c>
      <c r="E126" s="677" t="s">
        <v>37</v>
      </c>
      <c r="F126" s="22">
        <f>SUM(F127,F135)</f>
        <v>0</v>
      </c>
      <c r="G126" s="22">
        <f>SUM(G127,G135)</f>
        <v>0</v>
      </c>
      <c r="H126" s="22">
        <f>SUM(H127,H135)</f>
        <v>0</v>
      </c>
      <c r="I126" s="34" t="s">
        <v>37</v>
      </c>
      <c r="K126" s="32"/>
      <c r="L126" s="692"/>
      <c r="M126" s="33"/>
      <c r="AW126" s="132"/>
      <c r="AX126" s="132"/>
      <c r="AY126" s="132"/>
      <c r="AZ126" s="132"/>
    </row>
    <row r="127" spans="2:52" ht="55.2" x14ac:dyDescent="0.25">
      <c r="B127" s="20" t="s">
        <v>1065</v>
      </c>
      <c r="C127" s="21" t="s">
        <v>112</v>
      </c>
      <c r="D127" s="677">
        <v>321</v>
      </c>
      <c r="E127" s="677" t="s">
        <v>37</v>
      </c>
      <c r="F127" s="22">
        <f>SUM(F128,F130,F133)</f>
        <v>0</v>
      </c>
      <c r="G127" s="22">
        <f>SUM(G128:G130)</f>
        <v>0</v>
      </c>
      <c r="H127" s="22">
        <f>SUM(H128:H130)</f>
        <v>0</v>
      </c>
      <c r="I127" s="34" t="s">
        <v>37</v>
      </c>
      <c r="K127" s="32"/>
      <c r="L127" s="692"/>
      <c r="M127" s="33"/>
      <c r="AW127" s="132"/>
      <c r="AX127" s="132"/>
      <c r="AY127" s="132"/>
      <c r="AZ127" s="132"/>
    </row>
    <row r="128" spans="2:52" ht="75.75" customHeight="1" x14ac:dyDescent="0.25">
      <c r="B128" s="36" t="s">
        <v>1066</v>
      </c>
      <c r="C128" s="21"/>
      <c r="D128" s="677">
        <v>321</v>
      </c>
      <c r="E128" s="677" t="s">
        <v>37</v>
      </c>
      <c r="F128" s="22">
        <f>SUM(F129)</f>
        <v>0</v>
      </c>
      <c r="G128" s="22">
        <f>SUM(G129)</f>
        <v>0</v>
      </c>
      <c r="H128" s="22">
        <f>SUM(H129)</f>
        <v>0</v>
      </c>
      <c r="I128" s="34" t="s">
        <v>37</v>
      </c>
      <c r="K128" s="32">
        <v>4</v>
      </c>
      <c r="L128" s="692" t="s">
        <v>998</v>
      </c>
      <c r="M128" s="33" t="s">
        <v>113</v>
      </c>
      <c r="AW128" s="132"/>
      <c r="AX128" s="132"/>
      <c r="AY128" s="132"/>
      <c r="AZ128" s="132"/>
    </row>
    <row r="129" spans="2:52" ht="27.6" x14ac:dyDescent="0.25">
      <c r="B129" s="36" t="s">
        <v>1067</v>
      </c>
      <c r="C129" s="21"/>
      <c r="D129" s="677">
        <v>321</v>
      </c>
      <c r="E129" s="677">
        <v>260</v>
      </c>
      <c r="F129" s="22">
        <f>'Утверждено (МЗ,ИЦ,КАП)'!I140+'Утверждено (МЗ,ИЦ,КАП)'!I85</f>
        <v>0</v>
      </c>
      <c r="G129" s="22">
        <f>'Утверждено (МЗ,ИЦ,КАП)'!J140+'Утверждено (МЗ,ИЦ,КАП)'!J85</f>
        <v>0</v>
      </c>
      <c r="H129" s="22">
        <f>'Утверждено (МЗ,ИЦ,КАП)'!K140+'Утверждено (МЗ,ИЦ,КАП)'!K85</f>
        <v>0</v>
      </c>
      <c r="I129" s="34" t="s">
        <v>37</v>
      </c>
      <c r="K129" s="32"/>
      <c r="L129" s="692"/>
      <c r="M129" s="33"/>
      <c r="AW129" s="132"/>
      <c r="AX129" s="132"/>
      <c r="AY129" s="132"/>
      <c r="AZ129" s="132"/>
    </row>
    <row r="130" spans="2:52" ht="41.4" x14ac:dyDescent="0.25">
      <c r="B130" s="20" t="s">
        <v>1056</v>
      </c>
      <c r="C130" s="21"/>
      <c r="D130" s="677">
        <v>321</v>
      </c>
      <c r="E130" s="677" t="s">
        <v>37</v>
      </c>
      <c r="F130" s="22">
        <f>SUM(F131:F132)</f>
        <v>0</v>
      </c>
      <c r="G130" s="22">
        <f>SUM(G131:G132)</f>
        <v>0</v>
      </c>
      <c r="H130" s="22">
        <f>SUM(H131:H132)</f>
        <v>0</v>
      </c>
      <c r="I130" s="34" t="s">
        <v>37</v>
      </c>
      <c r="K130" s="32">
        <v>2</v>
      </c>
      <c r="L130" s="692" t="s">
        <v>999</v>
      </c>
      <c r="M130" s="33" t="s">
        <v>114</v>
      </c>
      <c r="AW130" s="132"/>
      <c r="AX130" s="132"/>
      <c r="AY130" s="132"/>
      <c r="AZ130" s="132"/>
    </row>
    <row r="131" spans="2:52" ht="27.6" x14ac:dyDescent="0.25">
      <c r="B131" s="36" t="s">
        <v>1067</v>
      </c>
      <c r="C131" s="21"/>
      <c r="D131" s="677">
        <v>321</v>
      </c>
      <c r="E131" s="677">
        <v>260</v>
      </c>
      <c r="F131" s="22">
        <f>'Утверждено (ПДД)'!E137</f>
        <v>0</v>
      </c>
      <c r="G131" s="22">
        <f>'Утверждено (ПДД)'!F137</f>
        <v>0</v>
      </c>
      <c r="H131" s="22">
        <f>'Утверждено (ПДД)'!G137</f>
        <v>0</v>
      </c>
      <c r="I131" s="34" t="s">
        <v>37</v>
      </c>
      <c r="K131" s="32"/>
      <c r="L131" s="692"/>
      <c r="M131" s="33"/>
      <c r="AW131" s="132"/>
      <c r="AX131" s="132"/>
      <c r="AY131" s="132"/>
      <c r="AZ131" s="132"/>
    </row>
    <row r="132" spans="2:52" x14ac:dyDescent="0.25">
      <c r="B132" s="36" t="s">
        <v>1068</v>
      </c>
      <c r="C132" s="21"/>
      <c r="D132" s="677">
        <v>321</v>
      </c>
      <c r="E132" s="677">
        <v>290</v>
      </c>
      <c r="F132" s="22">
        <f>'Утверждено (ПДД)'!E138</f>
        <v>0</v>
      </c>
      <c r="G132" s="22">
        <f>'Утверждено (ПДД)'!F138</f>
        <v>0</v>
      </c>
      <c r="H132" s="22">
        <f>'Утверждено (ПДД)'!G138</f>
        <v>0</v>
      </c>
      <c r="I132" s="34" t="s">
        <v>37</v>
      </c>
      <c r="K132" s="32"/>
      <c r="L132" s="692"/>
      <c r="M132" s="33"/>
      <c r="AW132" s="132"/>
      <c r="AX132" s="132"/>
      <c r="AY132" s="132"/>
      <c r="AZ132" s="132"/>
    </row>
    <row r="133" spans="2:52" x14ac:dyDescent="0.25">
      <c r="B133" s="20" t="s">
        <v>1069</v>
      </c>
      <c r="C133" s="21"/>
      <c r="D133" s="677">
        <v>321</v>
      </c>
      <c r="E133" s="677" t="s">
        <v>37</v>
      </c>
      <c r="F133" s="22">
        <f>SUM(F134)</f>
        <v>0</v>
      </c>
      <c r="G133" s="22">
        <f>SUM(G134)</f>
        <v>0</v>
      </c>
      <c r="H133" s="22">
        <f>SUM(H134)</f>
        <v>0</v>
      </c>
      <c r="I133" s="34" t="s">
        <v>37</v>
      </c>
      <c r="K133" s="32">
        <v>5</v>
      </c>
      <c r="L133" s="692" t="s">
        <v>998</v>
      </c>
      <c r="M133" s="906" t="s">
        <v>114</v>
      </c>
      <c r="N133" s="906"/>
      <c r="O133" s="906"/>
      <c r="P133" s="906"/>
      <c r="Q133" s="906"/>
      <c r="R133" s="906"/>
      <c r="S133" s="906"/>
      <c r="T133" s="906"/>
      <c r="U133" s="906"/>
      <c r="V133" s="906"/>
      <c r="W133" s="906"/>
      <c r="X133" s="906"/>
      <c r="Y133" s="906"/>
      <c r="Z133" s="906"/>
      <c r="AA133" s="906"/>
      <c r="AB133" s="906"/>
      <c r="AC133" s="906"/>
      <c r="AD133" s="906"/>
      <c r="AE133" s="906"/>
      <c r="AF133" s="906"/>
      <c r="AG133" s="906"/>
      <c r="AH133" s="906"/>
      <c r="AI133" s="906"/>
      <c r="AW133" s="132"/>
      <c r="AX133" s="132"/>
      <c r="AY133" s="132"/>
      <c r="AZ133" s="132"/>
    </row>
    <row r="134" spans="2:52" ht="27.6" x14ac:dyDescent="0.25">
      <c r="B134" s="36" t="s">
        <v>1067</v>
      </c>
      <c r="C134" s="21"/>
      <c r="D134" s="677">
        <v>321</v>
      </c>
      <c r="E134" s="677">
        <v>260</v>
      </c>
      <c r="F134" s="22"/>
      <c r="G134" s="22"/>
      <c r="H134" s="22"/>
      <c r="I134" s="34" t="s">
        <v>37</v>
      </c>
      <c r="K134" s="32"/>
      <c r="L134" s="692"/>
      <c r="M134" s="33"/>
      <c r="AW134" s="132"/>
      <c r="AX134" s="132"/>
      <c r="AY134" s="132"/>
      <c r="AZ134" s="132"/>
    </row>
    <row r="135" spans="2:52" ht="27.6" x14ac:dyDescent="0.25">
      <c r="B135" s="20" t="s">
        <v>1070</v>
      </c>
      <c r="C135" s="21" t="s">
        <v>115</v>
      </c>
      <c r="D135" s="677">
        <v>323</v>
      </c>
      <c r="E135" s="677" t="s">
        <v>37</v>
      </c>
      <c r="F135" s="22">
        <f>SUM(F136)</f>
        <v>0</v>
      </c>
      <c r="G135" s="22">
        <f>SUM(G136)</f>
        <v>0</v>
      </c>
      <c r="H135" s="22">
        <f>SUM(H136)</f>
        <v>0</v>
      </c>
      <c r="I135" s="34" t="s">
        <v>37</v>
      </c>
      <c r="J135" s="694"/>
      <c r="K135" s="32"/>
      <c r="L135" s="692"/>
      <c r="M135" s="33"/>
      <c r="AW135" s="132"/>
      <c r="AX135" s="132"/>
      <c r="AY135" s="132"/>
      <c r="AZ135" s="132"/>
    </row>
    <row r="136" spans="2:52" ht="27.6" x14ac:dyDescent="0.25">
      <c r="B136" s="36" t="s">
        <v>1071</v>
      </c>
      <c r="C136" s="21"/>
      <c r="D136" s="677">
        <v>323</v>
      </c>
      <c r="E136" s="677" t="s">
        <v>37</v>
      </c>
      <c r="F136" s="22">
        <f>SUM(F137:F138)</f>
        <v>0</v>
      </c>
      <c r="G136" s="22">
        <f>SUM(G137:G138)</f>
        <v>0</v>
      </c>
      <c r="H136" s="22">
        <f>SUM(H137:H138)</f>
        <v>0</v>
      </c>
      <c r="I136" s="34" t="s">
        <v>37</v>
      </c>
      <c r="K136" s="32">
        <v>5</v>
      </c>
      <c r="L136" s="692" t="s">
        <v>1000</v>
      </c>
      <c r="M136" s="33" t="s">
        <v>116</v>
      </c>
      <c r="AW136" s="132"/>
      <c r="AX136" s="132"/>
      <c r="AY136" s="132"/>
      <c r="AZ136" s="132"/>
    </row>
    <row r="137" spans="2:52" ht="27.6" x14ac:dyDescent="0.25">
      <c r="B137" s="36" t="s">
        <v>1072</v>
      </c>
      <c r="C137" s="21"/>
      <c r="D137" s="677">
        <v>323</v>
      </c>
      <c r="E137" s="677">
        <v>260</v>
      </c>
      <c r="F137" s="22"/>
      <c r="G137" s="22"/>
      <c r="H137" s="22"/>
      <c r="I137" s="34" t="s">
        <v>37</v>
      </c>
      <c r="K137" s="32"/>
      <c r="L137" s="692"/>
      <c r="M137" s="33"/>
      <c r="AW137" s="132"/>
      <c r="AX137" s="132"/>
      <c r="AY137" s="132"/>
      <c r="AZ137" s="132"/>
    </row>
    <row r="138" spans="2:52" ht="15" customHeight="1" x14ac:dyDescent="0.25">
      <c r="B138" s="36" t="s">
        <v>1073</v>
      </c>
      <c r="C138" s="21"/>
      <c r="D138" s="677">
        <v>323</v>
      </c>
      <c r="E138" s="677">
        <v>340</v>
      </c>
      <c r="F138" s="22">
        <v>0</v>
      </c>
      <c r="G138" s="22">
        <v>0</v>
      </c>
      <c r="H138" s="22">
        <v>0</v>
      </c>
      <c r="I138" s="34" t="s">
        <v>37</v>
      </c>
      <c r="K138" s="32"/>
      <c r="L138" s="692"/>
      <c r="M138" s="33"/>
      <c r="AW138" s="132"/>
      <c r="AX138" s="132"/>
      <c r="AY138" s="132"/>
      <c r="AZ138" s="132"/>
    </row>
    <row r="139" spans="2:52" x14ac:dyDescent="0.25">
      <c r="B139" s="20" t="s">
        <v>1074</v>
      </c>
      <c r="C139" s="21" t="s">
        <v>118</v>
      </c>
      <c r="D139" s="677">
        <v>340</v>
      </c>
      <c r="E139" s="677" t="s">
        <v>37</v>
      </c>
      <c r="F139" s="22">
        <f t="shared" ref="F139:H140" si="1">SUM(F140)</f>
        <v>0</v>
      </c>
      <c r="G139" s="22">
        <f t="shared" si="1"/>
        <v>0</v>
      </c>
      <c r="H139" s="22">
        <f t="shared" si="1"/>
        <v>0</v>
      </c>
      <c r="I139" s="34" t="s">
        <v>37</v>
      </c>
      <c r="K139" s="32"/>
      <c r="L139" s="692"/>
      <c r="M139" s="33"/>
      <c r="AW139" s="132"/>
      <c r="AX139" s="132"/>
      <c r="AY139" s="132"/>
      <c r="AZ139" s="132"/>
    </row>
    <row r="140" spans="2:52" ht="27.6" x14ac:dyDescent="0.25">
      <c r="B140" s="36" t="s">
        <v>1075</v>
      </c>
      <c r="C140" s="21" t="s">
        <v>119</v>
      </c>
      <c r="D140" s="677">
        <v>340</v>
      </c>
      <c r="E140" s="677" t="s">
        <v>37</v>
      </c>
      <c r="F140" s="22">
        <f t="shared" si="1"/>
        <v>0</v>
      </c>
      <c r="G140" s="22">
        <f t="shared" si="1"/>
        <v>0</v>
      </c>
      <c r="H140" s="22">
        <f t="shared" si="1"/>
        <v>0</v>
      </c>
      <c r="I140" s="34" t="s">
        <v>37</v>
      </c>
      <c r="K140" s="32">
        <v>5</v>
      </c>
      <c r="L140" s="692">
        <v>296</v>
      </c>
      <c r="M140" s="33" t="s">
        <v>120</v>
      </c>
      <c r="AW140" s="132"/>
      <c r="AX140" s="132"/>
      <c r="AY140" s="132"/>
      <c r="AZ140" s="132"/>
    </row>
    <row r="141" spans="2:52" ht="27.6" x14ac:dyDescent="0.25">
      <c r="B141" s="36" t="s">
        <v>1076</v>
      </c>
      <c r="C141" s="21"/>
      <c r="D141" s="677">
        <v>340</v>
      </c>
      <c r="E141" s="677">
        <v>290</v>
      </c>
      <c r="F141" s="22">
        <v>0</v>
      </c>
      <c r="G141" s="22">
        <v>0</v>
      </c>
      <c r="H141" s="22">
        <v>0</v>
      </c>
      <c r="I141" s="34" t="s">
        <v>37</v>
      </c>
      <c r="K141" s="32"/>
      <c r="L141" s="692"/>
      <c r="M141" s="33"/>
      <c r="AW141" s="132"/>
      <c r="AX141" s="132"/>
      <c r="AY141" s="132"/>
      <c r="AZ141" s="132"/>
    </row>
    <row r="142" spans="2:52" ht="82.8" x14ac:dyDescent="0.25">
      <c r="B142" s="20" t="s">
        <v>1077</v>
      </c>
      <c r="C142" s="21" t="s">
        <v>122</v>
      </c>
      <c r="D142" s="677">
        <v>350</v>
      </c>
      <c r="E142" s="677"/>
      <c r="F142" s="22">
        <f>SUM(F143)</f>
        <v>0</v>
      </c>
      <c r="G142" s="22">
        <f>SUM(G143)</f>
        <v>0</v>
      </c>
      <c r="H142" s="22">
        <f>SUM(H143)</f>
        <v>0</v>
      </c>
      <c r="I142" s="34" t="s">
        <v>37</v>
      </c>
      <c r="K142" s="32"/>
      <c r="L142" s="692"/>
      <c r="M142" s="33"/>
      <c r="AW142" s="132"/>
      <c r="AX142" s="132"/>
      <c r="AY142" s="132"/>
      <c r="AZ142" s="132"/>
    </row>
    <row r="143" spans="2:52" ht="27.6" x14ac:dyDescent="0.25">
      <c r="B143" s="36" t="s">
        <v>1078</v>
      </c>
      <c r="C143" s="21"/>
      <c r="D143" s="677"/>
      <c r="E143" s="677"/>
      <c r="F143" s="22"/>
      <c r="G143" s="22"/>
      <c r="H143" s="22"/>
      <c r="I143" s="34" t="s">
        <v>37</v>
      </c>
      <c r="K143" s="32"/>
      <c r="L143" s="692"/>
      <c r="M143" s="33"/>
      <c r="AW143" s="132"/>
      <c r="AX143" s="132"/>
      <c r="AY143" s="132"/>
      <c r="AZ143" s="132"/>
    </row>
    <row r="144" spans="2:52" x14ac:dyDescent="0.25">
      <c r="B144" s="20" t="s">
        <v>1079</v>
      </c>
      <c r="C144" s="21" t="s">
        <v>125</v>
      </c>
      <c r="D144" s="677">
        <v>360</v>
      </c>
      <c r="E144" s="677"/>
      <c r="F144" s="22">
        <f>SUM(F145)</f>
        <v>0</v>
      </c>
      <c r="G144" s="22">
        <f>SUM(G145)</f>
        <v>0</v>
      </c>
      <c r="H144" s="22">
        <f>SUM(H145)</f>
        <v>0</v>
      </c>
      <c r="I144" s="34" t="s">
        <v>37</v>
      </c>
      <c r="K144" s="32"/>
      <c r="L144" s="692"/>
      <c r="M144" s="33"/>
      <c r="AW144" s="132"/>
      <c r="AX144" s="132"/>
      <c r="AY144" s="132"/>
      <c r="AZ144" s="132"/>
    </row>
    <row r="145" spans="2:52" ht="27.6" x14ac:dyDescent="0.25">
      <c r="B145" s="36" t="s">
        <v>1075</v>
      </c>
      <c r="C145" s="21" t="s">
        <v>844</v>
      </c>
      <c r="D145" s="677">
        <v>360</v>
      </c>
      <c r="E145" s="677"/>
      <c r="F145" s="22"/>
      <c r="G145" s="22"/>
      <c r="H145" s="22"/>
      <c r="I145" s="34" t="s">
        <v>37</v>
      </c>
      <c r="K145" s="32"/>
      <c r="L145" s="692"/>
      <c r="M145" s="33"/>
      <c r="AW145" s="132"/>
      <c r="AX145" s="132"/>
      <c r="AY145" s="132"/>
      <c r="AZ145" s="132"/>
    </row>
    <row r="146" spans="2:52" x14ac:dyDescent="0.25">
      <c r="B146" s="20" t="s">
        <v>126</v>
      </c>
      <c r="C146" s="21" t="s">
        <v>127</v>
      </c>
      <c r="D146" s="677">
        <v>850</v>
      </c>
      <c r="E146" s="677" t="s">
        <v>37</v>
      </c>
      <c r="F146" s="22">
        <f>SUM(F147,F152,F157)</f>
        <v>268439</v>
      </c>
      <c r="G146" s="22">
        <f>SUM(G147,G152,G157)</f>
        <v>133670</v>
      </c>
      <c r="H146" s="22">
        <f>SUM(H147,H152,H157)</f>
        <v>133670</v>
      </c>
      <c r="I146" s="34" t="s">
        <v>37</v>
      </c>
      <c r="K146" s="32"/>
      <c r="L146" s="692"/>
      <c r="M146" s="33"/>
      <c r="AW146" s="132"/>
      <c r="AX146" s="132"/>
      <c r="AY146" s="132"/>
      <c r="AZ146" s="132"/>
    </row>
    <row r="147" spans="2:52" ht="30" customHeight="1" x14ac:dyDescent="0.25">
      <c r="B147" s="20" t="s">
        <v>1080</v>
      </c>
      <c r="C147" s="21" t="s">
        <v>128</v>
      </c>
      <c r="D147" s="677">
        <v>851</v>
      </c>
      <c r="E147" s="677" t="s">
        <v>37</v>
      </c>
      <c r="F147" s="22">
        <f>SUM(F148,F150)</f>
        <v>265439</v>
      </c>
      <c r="G147" s="22">
        <f>SUM(G148,G150)</f>
        <v>133670</v>
      </c>
      <c r="H147" s="22">
        <f>SUM(H148,H150)</f>
        <v>133670</v>
      </c>
      <c r="I147" s="34" t="s">
        <v>37</v>
      </c>
      <c r="K147" s="32"/>
      <c r="L147" s="692"/>
      <c r="M147" s="33"/>
      <c r="AW147" s="132"/>
      <c r="AX147" s="132"/>
      <c r="AY147" s="132"/>
      <c r="AZ147" s="132"/>
    </row>
    <row r="148" spans="2:52" ht="77.25" customHeight="1" x14ac:dyDescent="0.25">
      <c r="B148" s="36" t="s">
        <v>1047</v>
      </c>
      <c r="C148" s="21" t="s">
        <v>129</v>
      </c>
      <c r="D148" s="677">
        <v>851</v>
      </c>
      <c r="E148" s="677" t="s">
        <v>37</v>
      </c>
      <c r="F148" s="22">
        <f>SUM(F149)</f>
        <v>263668</v>
      </c>
      <c r="G148" s="22">
        <f>SUM(G149)</f>
        <v>133670</v>
      </c>
      <c r="H148" s="22">
        <f>SUM(H149)</f>
        <v>133670</v>
      </c>
      <c r="I148" s="34" t="s">
        <v>37</v>
      </c>
      <c r="K148" s="32">
        <v>4</v>
      </c>
      <c r="L148" s="692">
        <v>291</v>
      </c>
      <c r="M148" s="33" t="s">
        <v>130</v>
      </c>
      <c r="AW148" s="132"/>
      <c r="AX148" s="132"/>
      <c r="AY148" s="132"/>
      <c r="AZ148" s="132"/>
    </row>
    <row r="149" spans="2:52" ht="27.6" x14ac:dyDescent="0.25">
      <c r="B149" s="36" t="s">
        <v>1081</v>
      </c>
      <c r="C149" s="21"/>
      <c r="D149" s="677">
        <v>851</v>
      </c>
      <c r="E149" s="677">
        <v>290</v>
      </c>
      <c r="F149" s="22">
        <f>'Утверждено (МЗ,ИЦ,КАП)'!F88+'Утверждено (МЗ,ИЦ,КАП)'!F89</f>
        <v>263668</v>
      </c>
      <c r="G149" s="22">
        <f>'Утверждено (МЗ,ИЦ,КАП)'!G88+'Утверждено (МЗ,ИЦ,КАП)'!G89</f>
        <v>133670</v>
      </c>
      <c r="H149" s="22">
        <f>'Утверждено (МЗ,ИЦ,КАП)'!H88+'Утверждено (МЗ,ИЦ,КАП)'!H89</f>
        <v>133670</v>
      </c>
      <c r="I149" s="34" t="s">
        <v>37</v>
      </c>
      <c r="K149" s="32"/>
      <c r="L149" s="692"/>
      <c r="M149" s="33"/>
      <c r="AW149" s="132"/>
      <c r="AX149" s="132"/>
      <c r="AY149" s="132"/>
      <c r="AZ149" s="132"/>
    </row>
    <row r="150" spans="2:52" ht="41.4" x14ac:dyDescent="0.25">
      <c r="B150" s="20" t="s">
        <v>1048</v>
      </c>
      <c r="C150" s="21" t="s">
        <v>131</v>
      </c>
      <c r="D150" s="677">
        <v>851</v>
      </c>
      <c r="E150" s="677" t="s">
        <v>37</v>
      </c>
      <c r="F150" s="22">
        <f>SUM(F151)</f>
        <v>1771</v>
      </c>
      <c r="G150" s="22">
        <f>SUM(G151)</f>
        <v>0</v>
      </c>
      <c r="H150" s="22">
        <f>SUM(H151)</f>
        <v>0</v>
      </c>
      <c r="I150" s="34" t="s">
        <v>37</v>
      </c>
      <c r="K150" s="32">
        <v>2</v>
      </c>
      <c r="L150" s="692">
        <v>291</v>
      </c>
      <c r="M150" s="33" t="s">
        <v>130</v>
      </c>
      <c r="AW150" s="132"/>
      <c r="AX150" s="132"/>
      <c r="AY150" s="132"/>
      <c r="AZ150" s="132"/>
    </row>
    <row r="151" spans="2:52" ht="27.6" x14ac:dyDescent="0.25">
      <c r="B151" s="36" t="s">
        <v>1081</v>
      </c>
      <c r="C151" s="21"/>
      <c r="D151" s="677">
        <v>851</v>
      </c>
      <c r="E151" s="677">
        <v>290</v>
      </c>
      <c r="F151" s="22">
        <f>'Утверждено (ПДД)'!E141</f>
        <v>1771</v>
      </c>
      <c r="G151" s="22">
        <f>'Утверждено (ПДД)'!F141</f>
        <v>0</v>
      </c>
      <c r="H151" s="22">
        <f>'Утверждено (ПДД)'!G141</f>
        <v>0</v>
      </c>
      <c r="I151" s="34" t="s">
        <v>37</v>
      </c>
      <c r="K151" s="32"/>
      <c r="L151" s="692"/>
      <c r="M151" s="33"/>
      <c r="AW151" s="132"/>
      <c r="AX151" s="132"/>
      <c r="AY151" s="132"/>
      <c r="AZ151" s="132"/>
    </row>
    <row r="152" spans="2:52" ht="45.75" customHeight="1" x14ac:dyDescent="0.25">
      <c r="B152" s="20" t="s">
        <v>1082</v>
      </c>
      <c r="C152" s="21" t="s">
        <v>133</v>
      </c>
      <c r="D152" s="677">
        <v>852</v>
      </c>
      <c r="E152" s="677" t="s">
        <v>37</v>
      </c>
      <c r="F152" s="22">
        <f>SUM(F153,F155)</f>
        <v>0</v>
      </c>
      <c r="G152" s="22">
        <f>SUM(G153,G155)</f>
        <v>0</v>
      </c>
      <c r="H152" s="22">
        <f>SUM(H153,H155)</f>
        <v>0</v>
      </c>
      <c r="I152" s="34" t="s">
        <v>37</v>
      </c>
      <c r="K152" s="32"/>
      <c r="L152" s="692"/>
      <c r="M152" s="33"/>
      <c r="AW152" s="132"/>
      <c r="AX152" s="132"/>
      <c r="AY152" s="132"/>
      <c r="AZ152" s="132"/>
    </row>
    <row r="153" spans="2:52" ht="77.25" customHeight="1" x14ac:dyDescent="0.25">
      <c r="B153" s="36" t="s">
        <v>1047</v>
      </c>
      <c r="C153" s="21" t="s">
        <v>134</v>
      </c>
      <c r="D153" s="677">
        <v>852</v>
      </c>
      <c r="E153" s="677" t="s">
        <v>37</v>
      </c>
      <c r="F153" s="22">
        <f>SUM(F154)</f>
        <v>0</v>
      </c>
      <c r="G153" s="22">
        <f>SUM(G154)</f>
        <v>0</v>
      </c>
      <c r="H153" s="22">
        <f>SUM(H154)</f>
        <v>0</v>
      </c>
      <c r="I153" s="34" t="s">
        <v>37</v>
      </c>
      <c r="K153" s="32">
        <v>4</v>
      </c>
      <c r="L153" s="692">
        <v>291</v>
      </c>
      <c r="M153" s="33" t="s">
        <v>135</v>
      </c>
      <c r="AW153" s="132"/>
      <c r="AX153" s="132"/>
      <c r="AY153" s="132"/>
      <c r="AZ153" s="132"/>
    </row>
    <row r="154" spans="2:52" ht="27.6" x14ac:dyDescent="0.25">
      <c r="B154" s="36" t="s">
        <v>1081</v>
      </c>
      <c r="C154" s="21"/>
      <c r="D154" s="677">
        <v>852</v>
      </c>
      <c r="E154" s="677">
        <v>290</v>
      </c>
      <c r="F154" s="22">
        <v>0</v>
      </c>
      <c r="G154" s="22">
        <v>0</v>
      </c>
      <c r="H154" s="22">
        <v>0</v>
      </c>
      <c r="I154" s="34" t="s">
        <v>37</v>
      </c>
      <c r="K154" s="32"/>
      <c r="L154" s="692"/>
      <c r="M154" s="33"/>
      <c r="AW154" s="132"/>
      <c r="AX154" s="132"/>
      <c r="AY154" s="132"/>
      <c r="AZ154" s="132"/>
    </row>
    <row r="155" spans="2:52" ht="41.4" x14ac:dyDescent="0.25">
      <c r="B155" s="20" t="s">
        <v>1048</v>
      </c>
      <c r="C155" s="21" t="s">
        <v>136</v>
      </c>
      <c r="D155" s="677">
        <v>852</v>
      </c>
      <c r="E155" s="677" t="s">
        <v>37</v>
      </c>
      <c r="F155" s="22">
        <f>SUM(F156)</f>
        <v>0</v>
      </c>
      <c r="G155" s="22">
        <f>SUM(G156)</f>
        <v>0</v>
      </c>
      <c r="H155" s="22">
        <f>SUM(H156)</f>
        <v>0</v>
      </c>
      <c r="I155" s="34" t="s">
        <v>37</v>
      </c>
      <c r="K155" s="32">
        <v>2</v>
      </c>
      <c r="L155" s="692">
        <v>291</v>
      </c>
      <c r="M155" s="33" t="s">
        <v>135</v>
      </c>
      <c r="AW155" s="132"/>
      <c r="AX155" s="132"/>
      <c r="AY155" s="132"/>
      <c r="AZ155" s="132"/>
    </row>
    <row r="156" spans="2:52" ht="27.6" x14ac:dyDescent="0.25">
      <c r="B156" s="36" t="s">
        <v>1081</v>
      </c>
      <c r="C156" s="21"/>
      <c r="D156" s="677">
        <v>852</v>
      </c>
      <c r="E156" s="677">
        <v>290</v>
      </c>
      <c r="F156" s="22">
        <f>'Утверждено (ПДД)'!E139</f>
        <v>0</v>
      </c>
      <c r="G156" s="22">
        <f>'Утверждено (ПДД)'!F139</f>
        <v>0</v>
      </c>
      <c r="H156" s="22">
        <f>'Утверждено (ПДД)'!G139</f>
        <v>0</v>
      </c>
      <c r="I156" s="34" t="s">
        <v>37</v>
      </c>
      <c r="K156" s="32"/>
      <c r="L156" s="692"/>
      <c r="M156" s="33"/>
      <c r="AW156" s="132"/>
      <c r="AX156" s="132"/>
      <c r="AY156" s="132"/>
      <c r="AZ156" s="132"/>
    </row>
    <row r="157" spans="2:52" ht="27.6" x14ac:dyDescent="0.25">
      <c r="B157" s="20" t="s">
        <v>1083</v>
      </c>
      <c r="C157" s="21" t="s">
        <v>138</v>
      </c>
      <c r="D157" s="677">
        <v>853</v>
      </c>
      <c r="E157" s="677" t="s">
        <v>37</v>
      </c>
      <c r="F157" s="22">
        <f>SUM(F158,F160)</f>
        <v>3000</v>
      </c>
      <c r="G157" s="22">
        <f>SUM(G158,G160)</f>
        <v>0</v>
      </c>
      <c r="H157" s="22">
        <f>SUM(H158,H160)</f>
        <v>0</v>
      </c>
      <c r="I157" s="34" t="s">
        <v>37</v>
      </c>
      <c r="K157" s="32"/>
      <c r="L157" s="692"/>
      <c r="M157" s="33"/>
      <c r="AW157" s="132"/>
      <c r="AX157" s="132"/>
      <c r="AY157" s="132"/>
      <c r="AZ157" s="132"/>
    </row>
    <row r="158" spans="2:52" ht="77.25" customHeight="1" x14ac:dyDescent="0.25">
      <c r="B158" s="36" t="s">
        <v>1040</v>
      </c>
      <c r="C158" s="21" t="s">
        <v>139</v>
      </c>
      <c r="D158" s="677">
        <v>853</v>
      </c>
      <c r="E158" s="677" t="s">
        <v>37</v>
      </c>
      <c r="F158" s="22">
        <v>0</v>
      </c>
      <c r="G158" s="22">
        <v>0</v>
      </c>
      <c r="H158" s="22">
        <v>0</v>
      </c>
      <c r="I158" s="34" t="s">
        <v>37</v>
      </c>
      <c r="K158" s="32">
        <v>4</v>
      </c>
      <c r="L158" s="692" t="s">
        <v>1001</v>
      </c>
      <c r="M158" s="907" t="s">
        <v>140</v>
      </c>
      <c r="N158" s="907"/>
      <c r="O158" s="907"/>
      <c r="P158" s="907"/>
      <c r="Q158" s="907"/>
      <c r="R158" s="907"/>
      <c r="S158" s="907"/>
      <c r="T158" s="907"/>
      <c r="U158" s="907"/>
      <c r="V158" s="907"/>
      <c r="W158" s="907"/>
      <c r="X158" s="907"/>
      <c r="Y158" s="907"/>
      <c r="Z158" s="907"/>
      <c r="AA158" s="907"/>
      <c r="AB158" s="907"/>
      <c r="AC158" s="907"/>
      <c r="AD158" s="907"/>
      <c r="AE158" s="907"/>
      <c r="AF158" s="907"/>
      <c r="AG158" s="907"/>
      <c r="AH158" s="907"/>
      <c r="AI158" s="907"/>
      <c r="AW158" s="132"/>
      <c r="AX158" s="132"/>
      <c r="AY158" s="132"/>
      <c r="AZ158" s="132"/>
    </row>
    <row r="159" spans="2:52" ht="27.6" x14ac:dyDescent="0.25">
      <c r="B159" s="36" t="s">
        <v>1081</v>
      </c>
      <c r="C159" s="21"/>
      <c r="D159" s="677">
        <v>853</v>
      </c>
      <c r="E159" s="677">
        <v>290</v>
      </c>
      <c r="F159" s="22">
        <v>0</v>
      </c>
      <c r="G159" s="22">
        <v>0</v>
      </c>
      <c r="H159" s="22">
        <v>0</v>
      </c>
      <c r="I159" s="34" t="s">
        <v>37</v>
      </c>
      <c r="K159" s="32"/>
      <c r="L159" s="692"/>
      <c r="M159" s="33"/>
      <c r="AW159" s="132"/>
      <c r="AX159" s="132"/>
      <c r="AY159" s="132"/>
      <c r="AZ159" s="132"/>
    </row>
    <row r="160" spans="2:52" ht="41.4" x14ac:dyDescent="0.25">
      <c r="B160" s="20" t="s">
        <v>1048</v>
      </c>
      <c r="C160" s="21" t="s">
        <v>141</v>
      </c>
      <c r="D160" s="677">
        <v>853</v>
      </c>
      <c r="E160" s="677" t="s">
        <v>37</v>
      </c>
      <c r="F160" s="22">
        <f>SUM(F161)</f>
        <v>3000</v>
      </c>
      <c r="G160" s="22">
        <f>SUM(G161)</f>
        <v>0</v>
      </c>
      <c r="H160" s="22">
        <f>SUM(H161)</f>
        <v>0</v>
      </c>
      <c r="I160" s="34" t="s">
        <v>37</v>
      </c>
      <c r="K160" s="32">
        <v>2</v>
      </c>
      <c r="L160" s="692" t="s">
        <v>1001</v>
      </c>
      <c r="M160" s="907" t="s">
        <v>140</v>
      </c>
      <c r="N160" s="907"/>
      <c r="O160" s="907"/>
      <c r="P160" s="907"/>
      <c r="Q160" s="907"/>
      <c r="R160" s="907"/>
      <c r="S160" s="907"/>
      <c r="T160" s="907"/>
      <c r="U160" s="907"/>
      <c r="V160" s="907"/>
      <c r="W160" s="907"/>
      <c r="X160" s="907"/>
      <c r="Y160" s="907"/>
      <c r="Z160" s="907"/>
      <c r="AA160" s="907"/>
      <c r="AB160" s="907"/>
      <c r="AC160" s="907"/>
      <c r="AD160" s="907"/>
      <c r="AE160" s="907"/>
      <c r="AF160" s="907"/>
      <c r="AG160" s="907"/>
      <c r="AH160" s="907"/>
      <c r="AI160" s="907"/>
      <c r="AW160" s="132"/>
      <c r="AX160" s="132"/>
      <c r="AY160" s="132"/>
      <c r="AZ160" s="132"/>
    </row>
    <row r="161" spans="2:52" ht="27.6" x14ac:dyDescent="0.25">
      <c r="B161" s="36" t="s">
        <v>1081</v>
      </c>
      <c r="C161" s="21"/>
      <c r="D161" s="677">
        <v>853</v>
      </c>
      <c r="E161" s="677">
        <v>290</v>
      </c>
      <c r="F161" s="22">
        <f>'Утверждено (ПДД)'!E140</f>
        <v>3000</v>
      </c>
      <c r="G161" s="22">
        <f>'Утверждено (ПДД)'!F140</f>
        <v>0</v>
      </c>
      <c r="H161" s="22">
        <f>'Утверждено (ПДД)'!G140</f>
        <v>0</v>
      </c>
      <c r="I161" s="34" t="s">
        <v>37</v>
      </c>
      <c r="K161" s="32"/>
      <c r="L161" s="692"/>
      <c r="M161" s="33"/>
      <c r="AW161" s="132"/>
      <c r="AX161" s="132"/>
      <c r="AY161" s="132"/>
      <c r="AZ161" s="132"/>
    </row>
    <row r="162" spans="2:52" ht="27.6" x14ac:dyDescent="0.25">
      <c r="B162" s="20" t="s">
        <v>142</v>
      </c>
      <c r="C162" s="21" t="s">
        <v>143</v>
      </c>
      <c r="D162" s="677" t="s">
        <v>37</v>
      </c>
      <c r="E162" s="677" t="s">
        <v>37</v>
      </c>
      <c r="F162" s="22">
        <f>SUM(F163,F167,F171)</f>
        <v>0</v>
      </c>
      <c r="G162" s="22">
        <f>SUM(G163,G167,G171)</f>
        <v>0</v>
      </c>
      <c r="H162" s="22">
        <f>SUM(H163,H167,H171)</f>
        <v>0</v>
      </c>
      <c r="I162" s="34" t="s">
        <v>37</v>
      </c>
      <c r="K162" s="32"/>
      <c r="L162" s="692"/>
      <c r="M162" s="33"/>
      <c r="AW162" s="132"/>
      <c r="AX162" s="132"/>
      <c r="AY162" s="132"/>
      <c r="AZ162" s="132"/>
    </row>
    <row r="163" spans="2:52" ht="30" customHeight="1" x14ac:dyDescent="0.25">
      <c r="B163" s="20" t="s">
        <v>1084</v>
      </c>
      <c r="C163" s="21" t="s">
        <v>144</v>
      </c>
      <c r="D163" s="677">
        <v>613</v>
      </c>
      <c r="E163" s="677" t="s">
        <v>37</v>
      </c>
      <c r="F163" s="22">
        <f>SUM(F164,F165,F166)</f>
        <v>0</v>
      </c>
      <c r="G163" s="22">
        <f>SUM(G164,G165,G166)</f>
        <v>0</v>
      </c>
      <c r="H163" s="22">
        <f>SUM(H164,H165,H166)</f>
        <v>0</v>
      </c>
      <c r="I163" s="34" t="s">
        <v>37</v>
      </c>
      <c r="K163" s="32"/>
      <c r="L163" s="692"/>
      <c r="M163" s="33"/>
      <c r="AW163" s="132"/>
      <c r="AX163" s="132"/>
      <c r="AY163" s="132"/>
      <c r="AZ163" s="132"/>
    </row>
    <row r="164" spans="2:52" ht="15" customHeight="1" x14ac:dyDescent="0.25">
      <c r="B164" s="20" t="s">
        <v>1085</v>
      </c>
      <c r="C164" s="21"/>
      <c r="D164" s="677"/>
      <c r="E164" s="677"/>
      <c r="F164" s="22"/>
      <c r="G164" s="22"/>
      <c r="H164" s="22"/>
      <c r="I164" s="34" t="s">
        <v>37</v>
      </c>
      <c r="K164" s="32"/>
      <c r="L164" s="692"/>
      <c r="M164" s="33"/>
      <c r="AW164" s="132"/>
      <c r="AX164" s="132"/>
      <c r="AY164" s="132"/>
      <c r="AZ164" s="132"/>
    </row>
    <row r="165" spans="2:52" x14ac:dyDescent="0.25">
      <c r="B165" s="20"/>
      <c r="C165" s="21"/>
      <c r="D165" s="677"/>
      <c r="E165" s="677"/>
      <c r="F165" s="22"/>
      <c r="G165" s="22"/>
      <c r="H165" s="22"/>
      <c r="I165" s="34" t="s">
        <v>37</v>
      </c>
      <c r="K165" s="32"/>
      <c r="L165" s="692"/>
      <c r="M165" s="33"/>
      <c r="AW165" s="132"/>
      <c r="AX165" s="132"/>
      <c r="AY165" s="132"/>
      <c r="AZ165" s="132"/>
    </row>
    <row r="166" spans="2:52" x14ac:dyDescent="0.25">
      <c r="B166" s="20"/>
      <c r="C166" s="21"/>
      <c r="D166" s="677"/>
      <c r="E166" s="677"/>
      <c r="F166" s="22"/>
      <c r="G166" s="22"/>
      <c r="H166" s="22"/>
      <c r="I166" s="34" t="s">
        <v>37</v>
      </c>
      <c r="K166" s="32"/>
      <c r="L166" s="692"/>
      <c r="M166" s="33"/>
      <c r="AW166" s="132"/>
      <c r="AX166" s="132"/>
      <c r="AY166" s="132"/>
      <c r="AZ166" s="132"/>
    </row>
    <row r="167" spans="2:52" ht="15" customHeight="1" x14ac:dyDescent="0.25">
      <c r="B167" s="20" t="s">
        <v>1086</v>
      </c>
      <c r="C167" s="21" t="s">
        <v>146</v>
      </c>
      <c r="D167" s="677">
        <v>623</v>
      </c>
      <c r="E167" s="677" t="s">
        <v>37</v>
      </c>
      <c r="F167" s="22">
        <f>SUM(F168,F169,F170)</f>
        <v>0</v>
      </c>
      <c r="G167" s="22">
        <f>SUM(G168,G169,G170)</f>
        <v>0</v>
      </c>
      <c r="H167" s="22">
        <f>SUM(H168,H169,H170)</f>
        <v>0</v>
      </c>
      <c r="I167" s="34" t="s">
        <v>37</v>
      </c>
      <c r="K167" s="32"/>
      <c r="L167" s="692"/>
      <c r="M167" s="33"/>
      <c r="AW167" s="132"/>
      <c r="AX167" s="132"/>
      <c r="AY167" s="132"/>
      <c r="AZ167" s="132"/>
    </row>
    <row r="168" spans="2:52" ht="15" customHeight="1" x14ac:dyDescent="0.25">
      <c r="B168" s="20" t="s">
        <v>1085</v>
      </c>
      <c r="C168" s="21"/>
      <c r="D168" s="677"/>
      <c r="E168" s="677"/>
      <c r="F168" s="22"/>
      <c r="G168" s="22"/>
      <c r="H168" s="22"/>
      <c r="I168" s="34" t="s">
        <v>37</v>
      </c>
      <c r="K168" s="32"/>
      <c r="L168" s="692"/>
      <c r="M168" s="33"/>
      <c r="AW168" s="132"/>
      <c r="AX168" s="132"/>
      <c r="AY168" s="132"/>
      <c r="AZ168" s="132"/>
    </row>
    <row r="169" spans="2:52" x14ac:dyDescent="0.25">
      <c r="B169" s="20"/>
      <c r="C169" s="21"/>
      <c r="D169" s="677"/>
      <c r="E169" s="677"/>
      <c r="F169" s="22"/>
      <c r="G169" s="22"/>
      <c r="H169" s="22"/>
      <c r="I169" s="34" t="s">
        <v>37</v>
      </c>
      <c r="K169" s="32"/>
      <c r="L169" s="692"/>
      <c r="M169" s="33"/>
      <c r="AW169" s="132"/>
      <c r="AX169" s="132"/>
      <c r="AY169" s="132"/>
      <c r="AZ169" s="132"/>
    </row>
    <row r="170" spans="2:52" x14ac:dyDescent="0.25">
      <c r="B170" s="20"/>
      <c r="C170" s="21"/>
      <c r="D170" s="677"/>
      <c r="E170" s="677"/>
      <c r="F170" s="22"/>
      <c r="G170" s="22"/>
      <c r="H170" s="22"/>
      <c r="I170" s="34" t="s">
        <v>37</v>
      </c>
      <c r="K170" s="32"/>
      <c r="L170" s="692"/>
      <c r="M170" s="33"/>
      <c r="AW170" s="132"/>
      <c r="AX170" s="132"/>
      <c r="AY170" s="132"/>
      <c r="AZ170" s="132"/>
    </row>
    <row r="171" spans="2:52" ht="47.25" customHeight="1" x14ac:dyDescent="0.25">
      <c r="B171" s="20" t="s">
        <v>1087</v>
      </c>
      <c r="C171" s="21" t="s">
        <v>148</v>
      </c>
      <c r="D171" s="677">
        <v>634</v>
      </c>
      <c r="E171" s="677" t="s">
        <v>37</v>
      </c>
      <c r="F171" s="22">
        <f>SUM(F172)</f>
        <v>0</v>
      </c>
      <c r="G171" s="22">
        <f>SUM(G172)</f>
        <v>0</v>
      </c>
      <c r="H171" s="22">
        <f>SUM(H172)</f>
        <v>0</v>
      </c>
      <c r="I171" s="34" t="s">
        <v>37</v>
      </c>
      <c r="K171" s="32"/>
      <c r="L171" s="692"/>
      <c r="M171" s="33"/>
      <c r="AW171" s="132"/>
      <c r="AX171" s="132"/>
      <c r="AY171" s="132"/>
      <c r="AZ171" s="132"/>
    </row>
    <row r="172" spans="2:52" ht="15" customHeight="1" x14ac:dyDescent="0.25">
      <c r="B172" s="20" t="s">
        <v>1117</v>
      </c>
      <c r="C172" s="21"/>
      <c r="D172" s="677"/>
      <c r="E172" s="677"/>
      <c r="F172" s="22"/>
      <c r="G172" s="22"/>
      <c r="H172" s="22"/>
      <c r="I172" s="34" t="s">
        <v>37</v>
      </c>
      <c r="K172" s="32"/>
      <c r="L172" s="692"/>
      <c r="M172" s="33"/>
      <c r="AW172" s="132"/>
      <c r="AX172" s="132"/>
      <c r="AY172" s="132"/>
      <c r="AZ172" s="132"/>
    </row>
    <row r="173" spans="2:52" ht="27.6" x14ac:dyDescent="0.25">
      <c r="B173" s="20" t="s">
        <v>1088</v>
      </c>
      <c r="C173" s="21" t="s">
        <v>923</v>
      </c>
      <c r="D173" s="677">
        <v>810</v>
      </c>
      <c r="E173" s="677" t="s">
        <v>37</v>
      </c>
      <c r="F173" s="22">
        <f>SUM(F174)</f>
        <v>0</v>
      </c>
      <c r="G173" s="22">
        <f>SUM(G174)</f>
        <v>0</v>
      </c>
      <c r="H173" s="22">
        <f>SUM(H174)</f>
        <v>0</v>
      </c>
      <c r="I173" s="34" t="s">
        <v>37</v>
      </c>
      <c r="K173" s="32"/>
      <c r="L173" s="692"/>
      <c r="M173" s="33"/>
      <c r="AW173" s="132"/>
      <c r="AX173" s="132"/>
      <c r="AY173" s="132"/>
      <c r="AZ173" s="132"/>
    </row>
    <row r="174" spans="2:52" ht="15" customHeight="1" x14ac:dyDescent="0.25">
      <c r="B174" s="20" t="s">
        <v>1117</v>
      </c>
      <c r="C174" s="21"/>
      <c r="D174" s="677"/>
      <c r="E174" s="677"/>
      <c r="F174" s="22"/>
      <c r="G174" s="22"/>
      <c r="H174" s="22"/>
      <c r="I174" s="34" t="s">
        <v>37</v>
      </c>
      <c r="K174" s="32"/>
      <c r="L174" s="692"/>
      <c r="M174" s="33"/>
      <c r="AW174" s="132"/>
      <c r="AX174" s="132"/>
      <c r="AY174" s="132"/>
      <c r="AZ174" s="132"/>
    </row>
    <row r="175" spans="2:52" x14ac:dyDescent="0.25">
      <c r="B175" s="20" t="s">
        <v>1089</v>
      </c>
      <c r="C175" s="21" t="s">
        <v>924</v>
      </c>
      <c r="D175" s="677">
        <v>862</v>
      </c>
      <c r="E175" s="677" t="s">
        <v>37</v>
      </c>
      <c r="F175" s="22">
        <f>SUM(F176)</f>
        <v>0</v>
      </c>
      <c r="G175" s="22">
        <f>SUM(G176)</f>
        <v>0</v>
      </c>
      <c r="H175" s="22">
        <f>SUM(H176)</f>
        <v>0</v>
      </c>
      <c r="I175" s="34" t="s">
        <v>37</v>
      </c>
      <c r="K175" s="32"/>
      <c r="L175" s="692"/>
      <c r="M175" s="33"/>
      <c r="AW175" s="132"/>
      <c r="AX175" s="132"/>
      <c r="AY175" s="132"/>
      <c r="AZ175" s="132"/>
    </row>
    <row r="176" spans="2:52" ht="15" customHeight="1" x14ac:dyDescent="0.25">
      <c r="B176" s="20" t="s">
        <v>1117</v>
      </c>
      <c r="C176" s="21"/>
      <c r="D176" s="677"/>
      <c r="E176" s="677"/>
      <c r="F176" s="22"/>
      <c r="G176" s="22"/>
      <c r="H176" s="22"/>
      <c r="I176" s="34" t="s">
        <v>37</v>
      </c>
      <c r="K176" s="32"/>
      <c r="L176" s="692"/>
      <c r="M176" s="33"/>
      <c r="AW176" s="132"/>
      <c r="AX176" s="132"/>
      <c r="AY176" s="132"/>
      <c r="AZ176" s="132"/>
    </row>
    <row r="177" spans="2:52" ht="41.4" x14ac:dyDescent="0.25">
      <c r="B177" s="20" t="s">
        <v>1090</v>
      </c>
      <c r="C177" s="21" t="s">
        <v>925</v>
      </c>
      <c r="D177" s="677">
        <v>863</v>
      </c>
      <c r="E177" s="677" t="s">
        <v>37</v>
      </c>
      <c r="F177" s="22">
        <f>SUM(F179:F181)</f>
        <v>0</v>
      </c>
      <c r="G177" s="22">
        <f>SUM(G179:G181)</f>
        <v>0</v>
      </c>
      <c r="H177" s="22">
        <f>SUM(H179:H181)</f>
        <v>0</v>
      </c>
      <c r="I177" s="34" t="s">
        <v>37</v>
      </c>
      <c r="K177" s="32"/>
      <c r="L177" s="692"/>
      <c r="M177" s="33"/>
      <c r="AW177" s="132"/>
      <c r="AX177" s="132"/>
      <c r="AY177" s="132"/>
      <c r="AZ177" s="132"/>
    </row>
    <row r="178" spans="2:52" x14ac:dyDescent="0.25">
      <c r="B178" s="20"/>
      <c r="C178" s="21"/>
      <c r="D178" s="677"/>
      <c r="E178" s="677"/>
      <c r="F178" s="22"/>
      <c r="G178" s="22"/>
      <c r="H178" s="22"/>
      <c r="I178" s="34" t="s">
        <v>37</v>
      </c>
      <c r="K178" s="32"/>
      <c r="L178" s="692"/>
      <c r="M178" s="33"/>
      <c r="AW178" s="132"/>
      <c r="AX178" s="132"/>
      <c r="AY178" s="132"/>
      <c r="AZ178" s="132"/>
    </row>
    <row r="179" spans="2:52" ht="15" customHeight="1" x14ac:dyDescent="0.25">
      <c r="B179" s="20" t="s">
        <v>1091</v>
      </c>
      <c r="C179" s="21"/>
      <c r="D179" s="677"/>
      <c r="E179" s="677"/>
      <c r="F179" s="22"/>
      <c r="G179" s="22"/>
      <c r="H179" s="22"/>
      <c r="I179" s="34" t="s">
        <v>37</v>
      </c>
      <c r="K179" s="32"/>
      <c r="L179" s="692"/>
      <c r="M179" s="33"/>
      <c r="AW179" s="132"/>
      <c r="AX179" s="132"/>
      <c r="AY179" s="132"/>
      <c r="AZ179" s="132"/>
    </row>
    <row r="180" spans="2:52" x14ac:dyDescent="0.25">
      <c r="B180" s="20"/>
      <c r="C180" s="21"/>
      <c r="D180" s="677"/>
      <c r="E180" s="677"/>
      <c r="F180" s="22"/>
      <c r="G180" s="22"/>
      <c r="H180" s="22"/>
      <c r="I180" s="34" t="s">
        <v>37</v>
      </c>
      <c r="K180" s="32"/>
      <c r="L180" s="692"/>
      <c r="M180" s="33"/>
      <c r="AW180" s="132"/>
      <c r="AX180" s="132"/>
      <c r="AY180" s="132"/>
      <c r="AZ180" s="132"/>
    </row>
    <row r="181" spans="2:52" x14ac:dyDescent="0.25">
      <c r="B181" s="20"/>
      <c r="C181" s="21"/>
      <c r="D181" s="677"/>
      <c r="E181" s="677"/>
      <c r="F181" s="22"/>
      <c r="G181" s="22"/>
      <c r="H181" s="22"/>
      <c r="I181" s="34" t="s">
        <v>37</v>
      </c>
      <c r="K181" s="32"/>
      <c r="L181" s="692"/>
      <c r="M181" s="33"/>
      <c r="AW181" s="132"/>
      <c r="AX181" s="132"/>
      <c r="AY181" s="132"/>
      <c r="AZ181" s="132"/>
    </row>
    <row r="182" spans="2:52" ht="27.6" x14ac:dyDescent="0.25">
      <c r="B182" s="20" t="s">
        <v>149</v>
      </c>
      <c r="C182" s="21" t="s">
        <v>150</v>
      </c>
      <c r="D182" s="677" t="s">
        <v>37</v>
      </c>
      <c r="E182" s="677" t="s">
        <v>37</v>
      </c>
      <c r="F182" s="22">
        <f>SUM(F183)</f>
        <v>0</v>
      </c>
      <c r="G182" s="22">
        <f>SUM(G183)</f>
        <v>0</v>
      </c>
      <c r="H182" s="22">
        <f>SUM(H183)</f>
        <v>0</v>
      </c>
      <c r="I182" s="34" t="s">
        <v>37</v>
      </c>
      <c r="K182" s="32"/>
      <c r="L182" s="692"/>
      <c r="M182" s="33"/>
      <c r="AW182" s="132"/>
      <c r="AX182" s="132"/>
      <c r="AY182" s="132"/>
      <c r="AZ182" s="132"/>
    </row>
    <row r="183" spans="2:52" ht="60" customHeight="1" x14ac:dyDescent="0.25">
      <c r="B183" s="20" t="s">
        <v>1092</v>
      </c>
      <c r="C183" s="21" t="s">
        <v>152</v>
      </c>
      <c r="D183" s="677">
        <v>831</v>
      </c>
      <c r="E183" s="677" t="s">
        <v>37</v>
      </c>
      <c r="F183" s="22">
        <f>SUM(F184,F186)</f>
        <v>0</v>
      </c>
      <c r="G183" s="22">
        <f>SUM(G184,G186)</f>
        <v>0</v>
      </c>
      <c r="H183" s="22">
        <f>SUM(H184,H186)</f>
        <v>0</v>
      </c>
      <c r="I183" s="34" t="s">
        <v>37</v>
      </c>
      <c r="K183" s="32"/>
      <c r="L183" s="692"/>
      <c r="M183" s="33"/>
      <c r="AW183" s="132"/>
      <c r="AX183" s="132"/>
      <c r="AY183" s="132"/>
      <c r="AZ183" s="132"/>
    </row>
    <row r="184" spans="2:52" ht="77.25" customHeight="1" x14ac:dyDescent="0.25">
      <c r="B184" s="36" t="s">
        <v>1093</v>
      </c>
      <c r="C184" s="21" t="s">
        <v>153</v>
      </c>
      <c r="D184" s="677">
        <v>831</v>
      </c>
      <c r="E184" s="677" t="s">
        <v>37</v>
      </c>
      <c r="F184" s="22">
        <f>SUM(F185)</f>
        <v>0</v>
      </c>
      <c r="G184" s="22">
        <f>SUM(G185)</f>
        <v>0</v>
      </c>
      <c r="H184" s="22">
        <f>SUM(H185)</f>
        <v>0</v>
      </c>
      <c r="I184" s="34" t="s">
        <v>37</v>
      </c>
      <c r="K184" s="32">
        <v>4</v>
      </c>
      <c r="L184" s="692" t="s">
        <v>1002</v>
      </c>
      <c r="M184" s="33" t="s">
        <v>154</v>
      </c>
      <c r="AW184" s="132"/>
      <c r="AX184" s="132"/>
      <c r="AY184" s="132"/>
      <c r="AZ184" s="132"/>
    </row>
    <row r="185" spans="2:52" ht="27.6" x14ac:dyDescent="0.25">
      <c r="B185" s="36" t="s">
        <v>1094</v>
      </c>
      <c r="C185" s="21"/>
      <c r="D185" s="677">
        <v>831</v>
      </c>
      <c r="E185" s="677">
        <v>290</v>
      </c>
      <c r="F185" s="22"/>
      <c r="G185" s="22"/>
      <c r="H185" s="22"/>
      <c r="I185" s="34" t="s">
        <v>37</v>
      </c>
      <c r="K185" s="32"/>
      <c r="L185" s="692"/>
      <c r="M185" s="33"/>
      <c r="AW185" s="132"/>
      <c r="AX185" s="132"/>
      <c r="AY185" s="132"/>
      <c r="AZ185" s="132"/>
    </row>
    <row r="186" spans="2:52" ht="41.4" x14ac:dyDescent="0.25">
      <c r="B186" s="20" t="s">
        <v>104</v>
      </c>
      <c r="C186" s="21" t="s">
        <v>156</v>
      </c>
      <c r="D186" s="677">
        <v>831</v>
      </c>
      <c r="E186" s="677" t="s">
        <v>37</v>
      </c>
      <c r="F186" s="22">
        <f>SUM(F187)</f>
        <v>0</v>
      </c>
      <c r="G186" s="22">
        <f>SUM(G187)</f>
        <v>0</v>
      </c>
      <c r="H186" s="22">
        <f>SUM(H187)</f>
        <v>0</v>
      </c>
      <c r="I186" s="34" t="s">
        <v>37</v>
      </c>
      <c r="K186" s="32">
        <v>2</v>
      </c>
      <c r="L186" s="692" t="s">
        <v>1002</v>
      </c>
      <c r="M186" s="33" t="s">
        <v>154</v>
      </c>
      <c r="AW186" s="132"/>
      <c r="AX186" s="132"/>
      <c r="AY186" s="132"/>
      <c r="AZ186" s="132"/>
    </row>
    <row r="187" spans="2:52" ht="27.6" x14ac:dyDescent="0.25">
      <c r="B187" s="36" t="s">
        <v>1094</v>
      </c>
      <c r="C187" s="21"/>
      <c r="D187" s="677">
        <v>831</v>
      </c>
      <c r="E187" s="677">
        <v>290</v>
      </c>
      <c r="F187" s="22">
        <f>'Утверждено (ПДД)'!E142</f>
        <v>0</v>
      </c>
      <c r="G187" s="22">
        <f>'Утверждено (ПДД)'!F142</f>
        <v>0</v>
      </c>
      <c r="H187" s="22">
        <f>'Утверждено (ПДД)'!G142</f>
        <v>0</v>
      </c>
      <c r="I187" s="34" t="s">
        <v>37</v>
      </c>
      <c r="K187" s="32"/>
      <c r="L187" s="692"/>
      <c r="M187" s="33"/>
      <c r="AW187" s="132"/>
      <c r="AX187" s="132"/>
      <c r="AY187" s="132"/>
      <c r="AZ187" s="132"/>
    </row>
    <row r="188" spans="2:52" ht="15" customHeight="1" x14ac:dyDescent="0.25">
      <c r="B188" s="20" t="s">
        <v>157</v>
      </c>
      <c r="C188" s="21" t="s">
        <v>158</v>
      </c>
      <c r="D188" s="677" t="s">
        <v>37</v>
      </c>
      <c r="E188" s="677" t="s">
        <v>37</v>
      </c>
      <c r="F188" s="22">
        <f>SUM(F189,F199,F208,F221)</f>
        <v>7071850.6900000004</v>
      </c>
      <c r="G188" s="22">
        <f>SUM(G189,G199,G208,G221)</f>
        <v>5601996.8600000003</v>
      </c>
      <c r="H188" s="22">
        <f>SUM(H189,H199,H208,H221)</f>
        <v>5601996.8600000003</v>
      </c>
      <c r="I188" s="22">
        <f>SUM(I189,I199,I208,I221)</f>
        <v>0</v>
      </c>
      <c r="K188" s="32"/>
      <c r="L188" s="692"/>
      <c r="M188" s="33"/>
      <c r="AW188" s="132"/>
      <c r="AX188" s="132"/>
      <c r="AY188" s="132"/>
      <c r="AZ188" s="132"/>
    </row>
    <row r="189" spans="2:52" ht="41.4" x14ac:dyDescent="0.25">
      <c r="B189" s="20" t="s">
        <v>1095</v>
      </c>
      <c r="C189" s="21" t="s">
        <v>160</v>
      </c>
      <c r="D189" s="677">
        <v>241</v>
      </c>
      <c r="E189" s="677" t="s">
        <v>37</v>
      </c>
      <c r="F189" s="22">
        <f>SUM(F190,F193,F196)</f>
        <v>0</v>
      </c>
      <c r="G189" s="22">
        <f>SUM(G190,G193,G196)</f>
        <v>0</v>
      </c>
      <c r="H189" s="22">
        <f>SUM(H190,H193,H196)</f>
        <v>0</v>
      </c>
      <c r="I189" s="22">
        <f>SUM(I190,I193,I196)</f>
        <v>0</v>
      </c>
      <c r="K189" s="32"/>
      <c r="L189" s="692"/>
      <c r="M189" s="33"/>
      <c r="AW189" s="132"/>
      <c r="AX189" s="132"/>
      <c r="AY189" s="132"/>
      <c r="AZ189" s="132"/>
    </row>
    <row r="190" spans="2:52" ht="75" customHeight="1" x14ac:dyDescent="0.25">
      <c r="B190" s="36" t="s">
        <v>1040</v>
      </c>
      <c r="C190" s="21" t="s">
        <v>161</v>
      </c>
      <c r="D190" s="677">
        <v>241</v>
      </c>
      <c r="E190" s="677" t="s">
        <v>37</v>
      </c>
      <c r="F190" s="22">
        <f>SUM(F191:F192)</f>
        <v>0</v>
      </c>
      <c r="G190" s="22">
        <f>SUM(G191:G192)</f>
        <v>0</v>
      </c>
      <c r="H190" s="22">
        <f>SUM(H191:H192)</f>
        <v>0</v>
      </c>
      <c r="I190" s="22">
        <f>SUM(I191:I192)</f>
        <v>0</v>
      </c>
      <c r="K190" s="32">
        <v>4</v>
      </c>
      <c r="L190" s="692" t="s">
        <v>1096</v>
      </c>
      <c r="M190" s="33"/>
      <c r="AW190" s="132"/>
      <c r="AX190" s="132"/>
      <c r="AY190" s="132"/>
      <c r="AZ190" s="132"/>
    </row>
    <row r="191" spans="2:52" ht="27.6" x14ac:dyDescent="0.25">
      <c r="B191" s="39" t="s">
        <v>1097</v>
      </c>
      <c r="C191" s="21"/>
      <c r="D191" s="677">
        <v>241</v>
      </c>
      <c r="E191" s="677">
        <v>220</v>
      </c>
      <c r="F191" s="22"/>
      <c r="G191" s="22"/>
      <c r="H191" s="22"/>
      <c r="I191" s="22"/>
      <c r="K191" s="32"/>
      <c r="L191" s="695"/>
      <c r="M191" s="33"/>
      <c r="AW191" s="132"/>
      <c r="AX191" s="132"/>
      <c r="AY191" s="132"/>
      <c r="AZ191" s="132"/>
    </row>
    <row r="192" spans="2:52" ht="15" customHeight="1" x14ac:dyDescent="0.25">
      <c r="B192" s="39" t="s">
        <v>1098</v>
      </c>
      <c r="C192" s="21"/>
      <c r="D192" s="677">
        <v>241</v>
      </c>
      <c r="E192" s="677">
        <v>320</v>
      </c>
      <c r="F192" s="22"/>
      <c r="G192" s="22"/>
      <c r="H192" s="22"/>
      <c r="I192" s="22"/>
      <c r="K192" s="32"/>
      <c r="L192" s="695"/>
      <c r="M192" s="33"/>
      <c r="AW192" s="132"/>
      <c r="AX192" s="132"/>
      <c r="AY192" s="132"/>
      <c r="AZ192" s="132"/>
    </row>
    <row r="193" spans="2:52" ht="41.4" x14ac:dyDescent="0.25">
      <c r="B193" s="20" t="s">
        <v>1099</v>
      </c>
      <c r="C193" s="21" t="s">
        <v>162</v>
      </c>
      <c r="D193" s="677">
        <v>241</v>
      </c>
      <c r="E193" s="677" t="s">
        <v>37</v>
      </c>
      <c r="F193" s="22">
        <f>SUM(F194:F195)</f>
        <v>0</v>
      </c>
      <c r="G193" s="22">
        <f>SUM(G194:G195)</f>
        <v>0</v>
      </c>
      <c r="H193" s="22">
        <f>SUM(H194:H195)</f>
        <v>0</v>
      </c>
      <c r="I193" s="22">
        <f>SUM(I194:I195)</f>
        <v>0</v>
      </c>
      <c r="K193" s="32">
        <v>2</v>
      </c>
      <c r="L193" s="692" t="s">
        <v>1096</v>
      </c>
      <c r="M193" s="33"/>
      <c r="AW193" s="132"/>
      <c r="AX193" s="132"/>
      <c r="AY193" s="132"/>
      <c r="AZ193" s="132"/>
    </row>
    <row r="194" spans="2:52" ht="27.6" x14ac:dyDescent="0.25">
      <c r="B194" s="39" t="s">
        <v>1097</v>
      </c>
      <c r="C194" s="21"/>
      <c r="D194" s="677">
        <v>241</v>
      </c>
      <c r="E194" s="677">
        <v>220</v>
      </c>
      <c r="F194" s="22"/>
      <c r="G194" s="22"/>
      <c r="H194" s="22"/>
      <c r="I194" s="22"/>
      <c r="K194" s="32"/>
      <c r="L194" s="695"/>
      <c r="M194" s="33"/>
      <c r="AW194" s="132"/>
      <c r="AX194" s="132"/>
      <c r="AY194" s="132"/>
      <c r="AZ194" s="132"/>
    </row>
    <row r="195" spans="2:52" ht="15" customHeight="1" x14ac:dyDescent="0.25">
      <c r="B195" s="39" t="s">
        <v>1098</v>
      </c>
      <c r="C195" s="21"/>
      <c r="D195" s="677">
        <v>241</v>
      </c>
      <c r="E195" s="677">
        <v>320</v>
      </c>
      <c r="F195" s="22"/>
      <c r="G195" s="22"/>
      <c r="H195" s="22"/>
      <c r="I195" s="22"/>
      <c r="K195" s="32"/>
      <c r="L195" s="695"/>
      <c r="M195" s="33"/>
      <c r="AW195" s="132"/>
      <c r="AX195" s="132"/>
      <c r="AY195" s="132"/>
      <c r="AZ195" s="132"/>
    </row>
    <row r="196" spans="2:52" x14ac:dyDescent="0.25">
      <c r="B196" s="20" t="s">
        <v>1100</v>
      </c>
      <c r="C196" s="21" t="s">
        <v>163</v>
      </c>
      <c r="D196" s="677">
        <v>241</v>
      </c>
      <c r="E196" s="677" t="s">
        <v>37</v>
      </c>
      <c r="F196" s="22">
        <f>SUM(F197:F198)</f>
        <v>0</v>
      </c>
      <c r="G196" s="22">
        <f>SUM(G197:G198)</f>
        <v>0</v>
      </c>
      <c r="H196" s="22">
        <f>SUM(H197:H198)</f>
        <v>0</v>
      </c>
      <c r="I196" s="22">
        <f>SUM(I197:I198)</f>
        <v>0</v>
      </c>
      <c r="K196" s="32">
        <v>5</v>
      </c>
      <c r="L196" s="692" t="s">
        <v>1096</v>
      </c>
      <c r="M196" s="33"/>
      <c r="AW196" s="132"/>
      <c r="AX196" s="132"/>
      <c r="AY196" s="132"/>
      <c r="AZ196" s="132"/>
    </row>
    <row r="197" spans="2:52" ht="27.6" x14ac:dyDescent="0.25">
      <c r="B197" s="39" t="s">
        <v>1097</v>
      </c>
      <c r="C197" s="21"/>
      <c r="D197" s="677">
        <v>241</v>
      </c>
      <c r="E197" s="677">
        <v>220</v>
      </c>
      <c r="F197" s="22"/>
      <c r="G197" s="22"/>
      <c r="H197" s="22"/>
      <c r="I197" s="22"/>
      <c r="K197" s="32"/>
      <c r="L197" s="695"/>
      <c r="M197" s="33"/>
      <c r="AW197" s="132"/>
      <c r="AX197" s="132"/>
      <c r="AY197" s="132"/>
      <c r="AZ197" s="132"/>
    </row>
    <row r="198" spans="2:52" ht="15" customHeight="1" x14ac:dyDescent="0.25">
      <c r="B198" s="39" t="s">
        <v>1098</v>
      </c>
      <c r="C198" s="21"/>
      <c r="D198" s="677">
        <v>241</v>
      </c>
      <c r="E198" s="677">
        <v>320</v>
      </c>
      <c r="F198" s="22"/>
      <c r="G198" s="22"/>
      <c r="H198" s="22"/>
      <c r="I198" s="22"/>
      <c r="K198" s="32"/>
      <c r="L198" s="695"/>
      <c r="M198" s="33"/>
      <c r="AW198" s="132"/>
      <c r="AX198" s="132"/>
      <c r="AY198" s="132"/>
      <c r="AZ198" s="132"/>
    </row>
    <row r="199" spans="2:52" ht="41.4" x14ac:dyDescent="0.25">
      <c r="B199" s="20" t="s">
        <v>1101</v>
      </c>
      <c r="C199" s="21" t="s">
        <v>165</v>
      </c>
      <c r="D199" s="677">
        <v>243</v>
      </c>
      <c r="E199" s="677" t="s">
        <v>37</v>
      </c>
      <c r="F199" s="22">
        <f>SUM(F200,F204)</f>
        <v>0</v>
      </c>
      <c r="G199" s="22">
        <f>SUM(G200,G204)</f>
        <v>0</v>
      </c>
      <c r="H199" s="22">
        <f>SUM(H200,H204)</f>
        <v>0</v>
      </c>
      <c r="I199" s="22">
        <f>SUM(I200,I204)</f>
        <v>0</v>
      </c>
      <c r="K199" s="32"/>
      <c r="L199" s="692"/>
      <c r="M199" s="33"/>
      <c r="AW199" s="132"/>
      <c r="AX199" s="132"/>
      <c r="AY199" s="132"/>
      <c r="AZ199" s="132"/>
    </row>
    <row r="200" spans="2:52" ht="30" customHeight="1" x14ac:dyDescent="0.25">
      <c r="B200" s="36" t="s">
        <v>1102</v>
      </c>
      <c r="C200" s="21" t="s">
        <v>166</v>
      </c>
      <c r="D200" s="677">
        <v>243</v>
      </c>
      <c r="E200" s="677" t="s">
        <v>37</v>
      </c>
      <c r="F200" s="22">
        <f>SUM(F201:F203)</f>
        <v>0</v>
      </c>
      <c r="G200" s="22">
        <f>SUM(G201:G203)</f>
        <v>0</v>
      </c>
      <c r="H200" s="22">
        <f>SUM(H201:H203)</f>
        <v>0</v>
      </c>
      <c r="I200" s="22">
        <f>SUM(I201:I203)</f>
        <v>0</v>
      </c>
      <c r="K200" s="32">
        <v>5</v>
      </c>
      <c r="L200" s="695" t="s">
        <v>167</v>
      </c>
      <c r="M200" s="33"/>
      <c r="AW200" s="132"/>
      <c r="AX200" s="132"/>
      <c r="AY200" s="132"/>
      <c r="AZ200" s="132"/>
    </row>
    <row r="201" spans="2:52" ht="27.6" x14ac:dyDescent="0.25">
      <c r="B201" s="39" t="s">
        <v>1103</v>
      </c>
      <c r="C201" s="21"/>
      <c r="D201" s="677">
        <v>243</v>
      </c>
      <c r="E201" s="677">
        <v>220</v>
      </c>
      <c r="F201" s="22"/>
      <c r="G201" s="22"/>
      <c r="H201" s="22"/>
      <c r="I201" s="22"/>
      <c r="K201" s="32"/>
      <c r="L201" s="695"/>
      <c r="M201" s="33"/>
      <c r="AW201" s="132"/>
      <c r="AX201" s="132"/>
      <c r="AY201" s="132"/>
      <c r="AZ201" s="132"/>
    </row>
    <row r="202" spans="2:52" x14ac:dyDescent="0.25">
      <c r="B202" s="39" t="s">
        <v>1104</v>
      </c>
      <c r="C202" s="21"/>
      <c r="D202" s="677">
        <v>243</v>
      </c>
      <c r="E202" s="677">
        <v>310</v>
      </c>
      <c r="F202" s="22"/>
      <c r="G202" s="22"/>
      <c r="H202" s="22"/>
      <c r="I202" s="22"/>
      <c r="K202" s="32"/>
      <c r="L202" s="695"/>
      <c r="M202" s="33"/>
      <c r="AW202" s="132"/>
      <c r="AX202" s="132"/>
      <c r="AY202" s="132"/>
      <c r="AZ202" s="132"/>
    </row>
    <row r="203" spans="2:52" ht="15" customHeight="1" x14ac:dyDescent="0.25">
      <c r="B203" s="39" t="s">
        <v>1105</v>
      </c>
      <c r="C203" s="21"/>
      <c r="D203" s="677">
        <v>243</v>
      </c>
      <c r="E203" s="677">
        <v>340</v>
      </c>
      <c r="F203" s="22"/>
      <c r="G203" s="22"/>
      <c r="H203" s="22"/>
      <c r="I203" s="22"/>
      <c r="K203" s="32"/>
      <c r="L203" s="695"/>
      <c r="M203" s="33"/>
      <c r="AW203" s="132"/>
      <c r="AX203" s="132"/>
      <c r="AY203" s="132"/>
      <c r="AZ203" s="132"/>
    </row>
    <row r="204" spans="2:52" ht="30" customHeight="1" x14ac:dyDescent="0.25">
      <c r="B204" s="20" t="s">
        <v>1048</v>
      </c>
      <c r="C204" s="21" t="s">
        <v>829</v>
      </c>
      <c r="D204" s="677">
        <v>243</v>
      </c>
      <c r="E204" s="677" t="s">
        <v>37</v>
      </c>
      <c r="F204" s="22">
        <f>SUM(F205:F207)</f>
        <v>0</v>
      </c>
      <c r="G204" s="22">
        <f>SUM(G205:G207)</f>
        <v>0</v>
      </c>
      <c r="H204" s="22">
        <f>SUM(H205:H207)</f>
        <v>0</v>
      </c>
      <c r="I204" s="22">
        <f>SUM(I205:I207)</f>
        <v>0</v>
      </c>
      <c r="K204" s="32">
        <v>2</v>
      </c>
      <c r="L204" s="695" t="s">
        <v>167</v>
      </c>
      <c r="M204" s="33"/>
      <c r="AW204" s="132"/>
      <c r="AX204" s="132"/>
      <c r="AY204" s="132"/>
      <c r="AZ204" s="132"/>
    </row>
    <row r="205" spans="2:52" ht="27.6" x14ac:dyDescent="0.25">
      <c r="B205" s="39" t="s">
        <v>1103</v>
      </c>
      <c r="C205" s="21"/>
      <c r="D205" s="677">
        <v>243</v>
      </c>
      <c r="E205" s="677">
        <v>220</v>
      </c>
      <c r="F205" s="22"/>
      <c r="G205" s="22"/>
      <c r="H205" s="22"/>
      <c r="I205" s="22"/>
      <c r="K205" s="32"/>
      <c r="L205" s="695"/>
      <c r="M205" s="33"/>
      <c r="AW205" s="132"/>
      <c r="AX205" s="132"/>
      <c r="AY205" s="132"/>
      <c r="AZ205" s="132"/>
    </row>
    <row r="206" spans="2:52" x14ac:dyDescent="0.25">
      <c r="B206" s="39" t="s">
        <v>1104</v>
      </c>
      <c r="C206" s="21"/>
      <c r="D206" s="677">
        <v>243</v>
      </c>
      <c r="E206" s="677">
        <v>310</v>
      </c>
      <c r="F206" s="22"/>
      <c r="G206" s="22"/>
      <c r="H206" s="22"/>
      <c r="I206" s="22"/>
      <c r="K206" s="32"/>
      <c r="L206" s="695"/>
      <c r="M206" s="33"/>
      <c r="AW206" s="132"/>
      <c r="AX206" s="132"/>
      <c r="AY206" s="132"/>
      <c r="AZ206" s="132"/>
    </row>
    <row r="207" spans="2:52" ht="15" customHeight="1" x14ac:dyDescent="0.25">
      <c r="B207" s="39" t="s">
        <v>1105</v>
      </c>
      <c r="C207" s="21"/>
      <c r="D207" s="677">
        <v>243</v>
      </c>
      <c r="E207" s="677">
        <v>340</v>
      </c>
      <c r="F207" s="22"/>
      <c r="G207" s="22"/>
      <c r="H207" s="22"/>
      <c r="I207" s="22"/>
      <c r="K207" s="32"/>
      <c r="L207" s="695"/>
      <c r="M207" s="33"/>
      <c r="AW207" s="132"/>
      <c r="AX207" s="132"/>
      <c r="AY207" s="132"/>
      <c r="AZ207" s="132"/>
    </row>
    <row r="208" spans="2:52" x14ac:dyDescent="0.25">
      <c r="B208" s="20" t="s">
        <v>1106</v>
      </c>
      <c r="C208" s="21" t="s">
        <v>169</v>
      </c>
      <c r="D208" s="677">
        <v>244</v>
      </c>
      <c r="E208" s="677" t="s">
        <v>37</v>
      </c>
      <c r="F208" s="22">
        <f>SUM(F209,F213,F217)</f>
        <v>5969604.8300000001</v>
      </c>
      <c r="G208" s="22">
        <f>SUM(G209,G213,G217)</f>
        <v>4936345.8600000003</v>
      </c>
      <c r="H208" s="22">
        <f>SUM(H209,H213,H217)</f>
        <v>4936345.8600000003</v>
      </c>
      <c r="I208" s="22">
        <f>SUM(I209,I213,I217)</f>
        <v>0</v>
      </c>
      <c r="K208" s="32"/>
      <c r="L208" s="692"/>
      <c r="M208" s="33"/>
      <c r="AW208" s="132"/>
      <c r="AX208" s="132"/>
      <c r="AY208" s="132"/>
      <c r="AZ208" s="132"/>
    </row>
    <row r="209" spans="2:52" ht="72.75" customHeight="1" x14ac:dyDescent="0.25">
      <c r="B209" s="36" t="s">
        <v>1040</v>
      </c>
      <c r="C209" s="21" t="s">
        <v>170</v>
      </c>
      <c r="D209" s="677">
        <v>244</v>
      </c>
      <c r="E209" s="677" t="s">
        <v>37</v>
      </c>
      <c r="F209" s="22">
        <f>SUM(F210:F212)</f>
        <v>1613265.09</v>
      </c>
      <c r="G209" s="22">
        <f>SUM(G210:G212)</f>
        <v>883348.86</v>
      </c>
      <c r="H209" s="22">
        <f>SUM(H210:H212)</f>
        <v>883348.86</v>
      </c>
      <c r="I209" s="22">
        <f>SUM(I210:I212)</f>
        <v>0</v>
      </c>
      <c r="J209" s="825">
        <f>'Утверждено (МЗ,ИЦ,КАП)'!F13+'Утверждено (МЗ,ИЦ,КАП)'!F17+'Утверждено (МЗ,ИЦ,КАП)'!F21+'Утверждено (МЗ,ИЦ,КАП)'!F60+'Утверждено (МЗ,ИЦ,КАП)'!F102+'Утверждено (МЗ,ИЦ,КАП)'!F109+'Утверждено (МЗ,ИЦ,КАП)'!F126+'Утверждено (МЗ,ИЦ,КАП)'!F153</f>
        <v>1177730.0900000001</v>
      </c>
      <c r="K209" s="32"/>
      <c r="L209" s="692"/>
      <c r="M209" s="33"/>
      <c r="AW209" s="132"/>
      <c r="AX209" s="132"/>
      <c r="AY209" s="132"/>
      <c r="AZ209" s="132"/>
    </row>
    <row r="210" spans="2:52" ht="27.6" x14ac:dyDescent="0.25">
      <c r="B210" s="39" t="s">
        <v>1103</v>
      </c>
      <c r="C210" s="21"/>
      <c r="D210" s="677">
        <v>244</v>
      </c>
      <c r="E210" s="677">
        <v>220</v>
      </c>
      <c r="F210" s="22">
        <f>'Утверждено (МЗ,ИЦ,КАП)'!F13+'Утверждено (МЗ,ИЦ,КАП)'!F17+'Утверждено (МЗ,ИЦ,КАП)'!F21+'Утверждено (МЗ,ИЦ,КАП)'!F60+'Утверждено (МЗ,ИЦ,КАП)'!F102+'Утверждено (МЗ,ИЦ,КАП)'!F109+'Утверждено (МЗ,ИЦ,КАП)'!F126+'Утверждено (МЗ,ИЦ,КАП)'!F153</f>
        <v>1177730.0900000001</v>
      </c>
      <c r="G210" s="22">
        <f>'Утверждено (МЗ,ИЦ,КАП)'!G13+'Утверждено (МЗ,ИЦ,КАП)'!G17+'Утверждено (МЗ,ИЦ,КАП)'!G20+'Утверждено (МЗ,ИЦ,КАП)'!G21+'Утверждено (МЗ,ИЦ,КАП)'!G60+'Утверждено (МЗ,ИЦ,КАП)'!G102+'Утверждено (МЗ,ИЦ,КАП)'!G109+'Утверждено (МЗ,ИЦ,КАП)'!G126+'Утверждено (МЗ,ИЦ,КАП)'!G153</f>
        <v>696151.52</v>
      </c>
      <c r="H210" s="22">
        <f>'Утверждено (МЗ,ИЦ,КАП)'!H13+'Утверждено (МЗ,ИЦ,КАП)'!H17+'Утверждено (МЗ,ИЦ,КАП)'!H20+'Утверждено (МЗ,ИЦ,КАП)'!H21+'Утверждено (МЗ,ИЦ,КАП)'!H60+'Утверждено (МЗ,ИЦ,КАП)'!H102+'Утверждено (МЗ,ИЦ,КАП)'!H109+'Утверждено (МЗ,ИЦ,КАП)'!H126+'Утверждено (МЗ,ИЦ,КАП)'!H153</f>
        <v>696151.52</v>
      </c>
      <c r="I210" s="22"/>
      <c r="K210" s="32">
        <v>4</v>
      </c>
      <c r="L210" s="695" t="s">
        <v>1005</v>
      </c>
      <c r="M210" s="33"/>
      <c r="AW210" s="132"/>
      <c r="AX210" s="132"/>
      <c r="AY210" s="132"/>
      <c r="AZ210" s="132"/>
    </row>
    <row r="211" spans="2:52" x14ac:dyDescent="0.25">
      <c r="B211" s="39" t="s">
        <v>1104</v>
      </c>
      <c r="C211" s="21"/>
      <c r="D211" s="677">
        <v>244</v>
      </c>
      <c r="E211" s="677">
        <v>310</v>
      </c>
      <c r="F211" s="22">
        <f>'Утверждено (МЗ,ИЦ,КАП)'!F135</f>
        <v>35395</v>
      </c>
      <c r="G211" s="22">
        <f>'Утверждено (МЗ,ИЦ,КАП)'!G135</f>
        <v>32695</v>
      </c>
      <c r="H211" s="22">
        <f>'Утверждено (МЗ,ИЦ,КАП)'!H135</f>
        <v>32695</v>
      </c>
      <c r="I211" s="22"/>
      <c r="K211" s="32">
        <v>4</v>
      </c>
      <c r="L211" s="695">
        <v>310</v>
      </c>
      <c r="M211" s="33"/>
      <c r="AW211" s="132"/>
      <c r="AX211" s="132"/>
      <c r="AY211" s="132"/>
      <c r="AZ211" s="132"/>
    </row>
    <row r="212" spans="2:52" ht="15" customHeight="1" x14ac:dyDescent="0.25">
      <c r="B212" s="39" t="s">
        <v>1105</v>
      </c>
      <c r="C212" s="21"/>
      <c r="D212" s="677">
        <v>244</v>
      </c>
      <c r="E212" s="677">
        <v>340</v>
      </c>
      <c r="F212" s="22">
        <f>'Утверждено (МЗ,ИЦ,КАП)'!F91+'Утверждено (МЗ,ИЦ,КАП)'!F143</f>
        <v>400140</v>
      </c>
      <c r="G212" s="22">
        <f>'Утверждено (МЗ,ИЦ,КАП)'!G91+'Утверждено (МЗ,ИЦ,КАП)'!G143</f>
        <v>154502.34</v>
      </c>
      <c r="H212" s="22">
        <f>'Утверждено (МЗ,ИЦ,КАП)'!H91+'Утверждено (МЗ,ИЦ,КАП)'!H143</f>
        <v>154502.34</v>
      </c>
      <c r="I212" s="22"/>
      <c r="K212" s="32">
        <v>4</v>
      </c>
      <c r="L212" s="695" t="s">
        <v>1003</v>
      </c>
      <c r="M212" s="33"/>
      <c r="AW212" s="132"/>
      <c r="AX212" s="132"/>
      <c r="AY212" s="132"/>
      <c r="AZ212" s="132"/>
    </row>
    <row r="213" spans="2:52" ht="41.4" x14ac:dyDescent="0.25">
      <c r="B213" s="20" t="s">
        <v>1099</v>
      </c>
      <c r="C213" s="21" t="s">
        <v>173</v>
      </c>
      <c r="D213" s="677">
        <v>244</v>
      </c>
      <c r="E213" s="677" t="s">
        <v>37</v>
      </c>
      <c r="F213" s="22">
        <f>SUM(F214:F216)</f>
        <v>4298533.33</v>
      </c>
      <c r="G213" s="22">
        <f>SUM(G214:G216)</f>
        <v>4052997</v>
      </c>
      <c r="H213" s="22">
        <f>SUM(H214:H216)</f>
        <v>4052997</v>
      </c>
      <c r="I213" s="22">
        <f>SUM(I214:I216)</f>
        <v>0</v>
      </c>
      <c r="K213" s="32"/>
      <c r="L213" s="692"/>
      <c r="M213" s="33"/>
      <c r="AW213" s="132"/>
      <c r="AX213" s="132"/>
      <c r="AY213" s="132"/>
      <c r="AZ213" s="132"/>
    </row>
    <row r="214" spans="2:52" ht="27.6" x14ac:dyDescent="0.25">
      <c r="B214" s="39" t="s">
        <v>1103</v>
      </c>
      <c r="C214" s="21"/>
      <c r="D214" s="677">
        <v>244</v>
      </c>
      <c r="E214" s="677">
        <v>220</v>
      </c>
      <c r="F214" s="22">
        <f>'Утверждено (ПДД)'!E1075</f>
        <v>407290.32</v>
      </c>
      <c r="G214" s="22">
        <f>'Утверждено (ПДД)'!F1075</f>
        <v>271483</v>
      </c>
      <c r="H214" s="22">
        <f>'Утверждено (ПДД)'!G1075</f>
        <v>271483</v>
      </c>
      <c r="I214" s="22"/>
      <c r="J214" s="141">
        <f>407290.32-F214</f>
        <v>0</v>
      </c>
      <c r="K214" s="32">
        <v>2</v>
      </c>
      <c r="L214" s="695" t="s">
        <v>1004</v>
      </c>
      <c r="M214" s="33"/>
      <c r="R214" s="103">
        <f>F214-'Утверждено (ПДД)'!H87</f>
        <v>0</v>
      </c>
      <c r="AW214" s="132"/>
      <c r="AX214" s="132"/>
      <c r="AY214" s="132"/>
      <c r="AZ214" s="132"/>
    </row>
    <row r="215" spans="2:52" x14ac:dyDescent="0.25">
      <c r="B215" s="39" t="s">
        <v>1104</v>
      </c>
      <c r="C215" s="21"/>
      <c r="D215" s="677">
        <v>244</v>
      </c>
      <c r="E215" s="677">
        <v>310</v>
      </c>
      <c r="F215" s="22">
        <f>'Утверждено (ПДД)'!E1076</f>
        <v>139935.60999999999</v>
      </c>
      <c r="G215" s="22">
        <f>'Утверждено (ПДД)'!F1076</f>
        <v>206637</v>
      </c>
      <c r="H215" s="22">
        <f>'Утверждено (ПДД)'!G1076</f>
        <v>206637</v>
      </c>
      <c r="I215" s="22"/>
      <c r="J215" s="141">
        <f>139935.61-F215</f>
        <v>0</v>
      </c>
      <c r="K215" s="32">
        <v>2</v>
      </c>
      <c r="L215" s="695">
        <v>310</v>
      </c>
      <c r="M215" s="33"/>
      <c r="AW215" s="132"/>
      <c r="AX215" s="132"/>
      <c r="AY215" s="132"/>
      <c r="AZ215" s="132"/>
    </row>
    <row r="216" spans="2:52" ht="15" customHeight="1" x14ac:dyDescent="0.25">
      <c r="B216" s="39" t="s">
        <v>1105</v>
      </c>
      <c r="C216" s="21"/>
      <c r="D216" s="677">
        <v>244</v>
      </c>
      <c r="E216" s="677">
        <v>340</v>
      </c>
      <c r="F216" s="22">
        <f>'Утверждено (ПДД)'!E1077</f>
        <v>3751307.4</v>
      </c>
      <c r="G216" s="22">
        <f>'Утверждено (ПДД)'!F1077</f>
        <v>3574877</v>
      </c>
      <c r="H216" s="22">
        <f>'Утверждено (ПДД)'!G1077</f>
        <v>3574877</v>
      </c>
      <c r="I216" s="22"/>
      <c r="J216" s="141">
        <f>3751882.4-F216</f>
        <v>575</v>
      </c>
      <c r="K216" s="32">
        <v>2</v>
      </c>
      <c r="L216" s="695" t="s">
        <v>1003</v>
      </c>
      <c r="M216" s="33"/>
      <c r="AW216" s="132"/>
      <c r="AX216" s="132"/>
      <c r="AY216" s="132"/>
      <c r="AZ216" s="132"/>
    </row>
    <row r="217" spans="2:52" ht="15" customHeight="1" x14ac:dyDescent="0.25">
      <c r="B217" s="39" t="s">
        <v>1100</v>
      </c>
      <c r="C217" s="21"/>
      <c r="D217" s="677">
        <v>244</v>
      </c>
      <c r="E217" s="677" t="s">
        <v>37</v>
      </c>
      <c r="F217" s="22">
        <f>SUM(F218:F220)</f>
        <v>57806.41</v>
      </c>
      <c r="G217" s="22">
        <f>SUM(G218:G220)</f>
        <v>0</v>
      </c>
      <c r="H217" s="22">
        <f>SUM(H218:H220)</f>
        <v>0</v>
      </c>
      <c r="I217" s="22">
        <f>SUM(I218:I220)</f>
        <v>0</v>
      </c>
      <c r="K217" s="32"/>
      <c r="L217" s="692"/>
      <c r="M217" s="33"/>
      <c r="AW217" s="132"/>
      <c r="AX217" s="132"/>
      <c r="AY217" s="132"/>
      <c r="AZ217" s="132"/>
    </row>
    <row r="218" spans="2:52" ht="27.6" x14ac:dyDescent="0.25">
      <c r="B218" s="39" t="s">
        <v>1103</v>
      </c>
      <c r="C218" s="21"/>
      <c r="D218" s="677">
        <v>244</v>
      </c>
      <c r="E218" s="677">
        <v>220</v>
      </c>
      <c r="F218" s="22">
        <f>'Утверждено (МЗ,ИЦ,КАП)'!F200+'Утверждено (МЗ,ИЦ,КАП)'!F210+'Утверждено (МЗ,ИЦ,КАП)'!F209+'Утверждено (МЗ,ИЦ,КАП)'!F208+'Утверждено (МЗ,ИЦ,КАП)'!F212+'Утверждено (МЗ,ИЦ,КАП)'!F215+'Утверждено (МЗ,ИЦ,КАП)'!F216</f>
        <v>57806.41</v>
      </c>
      <c r="G218" s="22">
        <f>'Утверждено (МЗ,ИЦ,КАП)'!G278</f>
        <v>0</v>
      </c>
      <c r="H218" s="22">
        <f>'Утверждено (МЗ,ИЦ,КАП)'!H278</f>
        <v>0</v>
      </c>
      <c r="I218" s="22"/>
      <c r="K218" s="32">
        <v>5</v>
      </c>
      <c r="L218" s="695" t="s">
        <v>1006</v>
      </c>
      <c r="M218" s="33"/>
      <c r="AW218" s="132"/>
      <c r="AX218" s="132"/>
      <c r="AY218" s="132"/>
      <c r="AZ218" s="132"/>
    </row>
    <row r="219" spans="2:52" x14ac:dyDescent="0.25">
      <c r="B219" s="39" t="s">
        <v>1104</v>
      </c>
      <c r="C219" s="21"/>
      <c r="D219" s="677">
        <v>244</v>
      </c>
      <c r="E219" s="677">
        <v>310</v>
      </c>
      <c r="F219" s="22">
        <f>'Утверждено (МЗ,ИЦ,КАП)'!F279</f>
        <v>0</v>
      </c>
      <c r="G219" s="22">
        <f>'Утверждено (МЗ,ИЦ,КАП)'!G279</f>
        <v>0</v>
      </c>
      <c r="H219" s="22">
        <f>'Утверждено (МЗ,ИЦ,КАП)'!H279</f>
        <v>0</v>
      </c>
      <c r="I219" s="22"/>
      <c r="K219" s="32">
        <v>5</v>
      </c>
      <c r="L219" s="695">
        <v>310</v>
      </c>
      <c r="M219" s="33"/>
      <c r="AW219" s="132"/>
      <c r="AX219" s="132"/>
      <c r="AY219" s="132"/>
      <c r="AZ219" s="132"/>
    </row>
    <row r="220" spans="2:52" ht="15" customHeight="1" x14ac:dyDescent="0.25">
      <c r="B220" s="39" t="s">
        <v>1105</v>
      </c>
      <c r="C220" s="21"/>
      <c r="D220" s="677">
        <v>244</v>
      </c>
      <c r="E220" s="677">
        <v>340</v>
      </c>
      <c r="F220" s="22">
        <f>'Утверждено (МЗ,ИЦ,КАП)'!F280</f>
        <v>0</v>
      </c>
      <c r="G220" s="22">
        <f>'Утверждено (МЗ,ИЦ,КАП)'!G280</f>
        <v>0</v>
      </c>
      <c r="H220" s="22">
        <f>'Утверждено (МЗ,ИЦ,КАП)'!H280</f>
        <v>0</v>
      </c>
      <c r="I220" s="22"/>
      <c r="K220" s="32">
        <v>5</v>
      </c>
      <c r="L220" s="695" t="s">
        <v>1003</v>
      </c>
      <c r="M220" s="33"/>
      <c r="AW220" s="132"/>
      <c r="AX220" s="132"/>
      <c r="AY220" s="132"/>
      <c r="AZ220" s="132"/>
    </row>
    <row r="221" spans="2:52" x14ac:dyDescent="0.25">
      <c r="B221" s="20" t="s">
        <v>751</v>
      </c>
      <c r="C221" s="21" t="s">
        <v>752</v>
      </c>
      <c r="D221" s="677">
        <v>247</v>
      </c>
      <c r="E221" s="677" t="s">
        <v>37</v>
      </c>
      <c r="F221" s="22">
        <f>SUM(F222,F224,F226)</f>
        <v>1102245.8600000001</v>
      </c>
      <c r="G221" s="22">
        <f>SUM(G222,G224,G226)</f>
        <v>665651</v>
      </c>
      <c r="H221" s="22">
        <f>SUM(H222,H224,H226)</f>
        <v>665651</v>
      </c>
      <c r="I221" s="22">
        <f>SUM(I222,I224,I226)</f>
        <v>0</v>
      </c>
      <c r="J221"/>
      <c r="K221"/>
      <c r="L221" s="126"/>
      <c r="M221"/>
      <c r="AW221" s="132"/>
      <c r="AX221" s="132"/>
      <c r="AY221" s="132"/>
      <c r="AZ221" s="132"/>
    </row>
    <row r="222" spans="2:52" ht="75" customHeight="1" x14ac:dyDescent="0.25">
      <c r="B222" s="36" t="s">
        <v>1107</v>
      </c>
      <c r="C222" s="21" t="s">
        <v>753</v>
      </c>
      <c r="D222" s="677">
        <v>247</v>
      </c>
      <c r="E222" s="677" t="s">
        <v>37</v>
      </c>
      <c r="F222" s="22">
        <f>SUM(F223)</f>
        <v>1043317.06</v>
      </c>
      <c r="G222" s="22">
        <f>SUM(G223)</f>
        <v>656170</v>
      </c>
      <c r="H222" s="22">
        <f>SUM(H223)</f>
        <v>656170</v>
      </c>
      <c r="I222" s="22">
        <f>SUM(I223)</f>
        <v>0</v>
      </c>
      <c r="J222"/>
      <c r="K222" s="32">
        <v>4</v>
      </c>
      <c r="L222" s="126">
        <v>223</v>
      </c>
      <c r="M222"/>
      <c r="AW222" s="132"/>
      <c r="AX222" s="132"/>
      <c r="AY222" s="132"/>
      <c r="AZ222" s="132"/>
    </row>
    <row r="223" spans="2:52" ht="27.6" x14ac:dyDescent="0.25">
      <c r="B223" s="39" t="s">
        <v>1097</v>
      </c>
      <c r="C223" s="21"/>
      <c r="D223" s="677">
        <v>247</v>
      </c>
      <c r="E223" s="677">
        <v>220</v>
      </c>
      <c r="F223" s="22">
        <f>'Утверждено (МЗ,ИЦ,КАП)'!I18</f>
        <v>1043317.06</v>
      </c>
      <c r="G223" s="22">
        <f>'Утверждено (МЗ,ИЦ,КАП)'!J18</f>
        <v>656170</v>
      </c>
      <c r="H223" s="22">
        <f>'Утверждено (МЗ,ИЦ,КАП)'!K18</f>
        <v>656170</v>
      </c>
      <c r="I223" s="22"/>
      <c r="K223" s="32"/>
      <c r="L223" s="695"/>
      <c r="M223" s="33"/>
      <c r="AW223" s="132"/>
      <c r="AX223" s="132"/>
      <c r="AY223" s="132"/>
      <c r="AZ223" s="132"/>
    </row>
    <row r="224" spans="2:52" ht="41.4" x14ac:dyDescent="0.25">
      <c r="B224" s="20" t="s">
        <v>1099</v>
      </c>
      <c r="C224" s="21" t="s">
        <v>754</v>
      </c>
      <c r="D224" s="677">
        <v>247</v>
      </c>
      <c r="E224" s="677" t="s">
        <v>37</v>
      </c>
      <c r="F224" s="22">
        <f>SUM(F225)</f>
        <v>58928.800000000003</v>
      </c>
      <c r="G224" s="22">
        <f>SUM(G225)</f>
        <v>9481</v>
      </c>
      <c r="H224" s="22">
        <f>SUM(H225)</f>
        <v>9481</v>
      </c>
      <c r="I224" s="22">
        <f>SUM(I225)</f>
        <v>0</v>
      </c>
      <c r="J224"/>
      <c r="K224" s="32">
        <v>2</v>
      </c>
      <c r="L224" s="126">
        <v>223</v>
      </c>
      <c r="M224"/>
      <c r="AW224" s="132"/>
      <c r="AX224" s="132"/>
      <c r="AY224" s="132"/>
      <c r="AZ224" s="132"/>
    </row>
    <row r="225" spans="2:52" ht="27.6" x14ac:dyDescent="0.25">
      <c r="B225" s="39" t="s">
        <v>1097</v>
      </c>
      <c r="C225" s="21"/>
      <c r="D225" s="677">
        <v>247</v>
      </c>
      <c r="E225" s="677">
        <v>220</v>
      </c>
      <c r="F225" s="22">
        <f>'Утверждено (ПДД)'!E1078</f>
        <v>58928.800000000003</v>
      </c>
      <c r="G225" s="22">
        <f>'Утверждено (ПДД)'!F1078</f>
        <v>9481</v>
      </c>
      <c r="H225" s="22">
        <f>'Утверждено (ПДД)'!G1078</f>
        <v>9481</v>
      </c>
      <c r="I225" s="22"/>
      <c r="K225" s="32"/>
      <c r="L225" s="695"/>
      <c r="M225" s="33"/>
      <c r="AW225" s="132"/>
      <c r="AX225" s="132"/>
      <c r="AY225" s="132"/>
      <c r="AZ225" s="132"/>
    </row>
    <row r="226" spans="2:52" x14ac:dyDescent="0.25">
      <c r="B226" s="20" t="s">
        <v>1100</v>
      </c>
      <c r="C226" s="21" t="s">
        <v>755</v>
      </c>
      <c r="D226" s="677">
        <v>247</v>
      </c>
      <c r="E226" s="677" t="s">
        <v>37</v>
      </c>
      <c r="F226" s="22">
        <f>SUM(F227)</f>
        <v>0</v>
      </c>
      <c r="G226" s="22">
        <f>SUM(G227)</f>
        <v>0</v>
      </c>
      <c r="H226" s="22">
        <f>SUM(H227)</f>
        <v>0</v>
      </c>
      <c r="I226" s="22">
        <f>SUM(I227)</f>
        <v>0</v>
      </c>
      <c r="J226"/>
      <c r="K226" s="32">
        <v>5</v>
      </c>
      <c r="L226" s="126">
        <v>223</v>
      </c>
      <c r="M226"/>
    </row>
    <row r="227" spans="2:52" ht="27.6" x14ac:dyDescent="0.25">
      <c r="B227" s="39" t="s">
        <v>1097</v>
      </c>
      <c r="C227" s="21"/>
      <c r="D227" s="677">
        <v>247</v>
      </c>
      <c r="E227" s="677">
        <v>220</v>
      </c>
      <c r="F227" s="22"/>
      <c r="G227" s="22"/>
      <c r="H227" s="22"/>
      <c r="I227" s="22"/>
      <c r="K227" s="32"/>
      <c r="L227" s="695"/>
      <c r="M227" s="33"/>
      <c r="AW227" s="132"/>
      <c r="AX227" s="132"/>
      <c r="AY227" s="132"/>
      <c r="AZ227" s="132"/>
    </row>
    <row r="228" spans="2:52" ht="41.4" x14ac:dyDescent="0.25">
      <c r="B228" s="20" t="s">
        <v>984</v>
      </c>
      <c r="C228" s="21" t="s">
        <v>928</v>
      </c>
      <c r="D228" s="677">
        <v>400</v>
      </c>
      <c r="E228" s="677" t="s">
        <v>37</v>
      </c>
      <c r="F228" s="22">
        <f>SUM(F229,F235)</f>
        <v>0</v>
      </c>
      <c r="G228" s="22">
        <f>SUM(G229,G235)</f>
        <v>0</v>
      </c>
      <c r="H228" s="22">
        <f>SUM(H229,H235)</f>
        <v>0</v>
      </c>
      <c r="I228" s="22">
        <f>SUM(I229,I235)</f>
        <v>0</v>
      </c>
      <c r="K228" s="32"/>
      <c r="L228" s="692"/>
      <c r="M228" s="33"/>
      <c r="AW228" s="132"/>
      <c r="AX228" s="132"/>
      <c r="AY228" s="132"/>
      <c r="AZ228" s="132"/>
    </row>
    <row r="229" spans="2:52" ht="55.2" x14ac:dyDescent="0.25">
      <c r="B229" s="20" t="s">
        <v>1108</v>
      </c>
      <c r="C229" s="21" t="s">
        <v>929</v>
      </c>
      <c r="D229" s="677">
        <v>406</v>
      </c>
      <c r="E229" s="677" t="s">
        <v>37</v>
      </c>
      <c r="F229" s="22">
        <f>SUM(F230)</f>
        <v>0</v>
      </c>
      <c r="G229" s="22">
        <f>SUM(G230)</f>
        <v>0</v>
      </c>
      <c r="H229" s="22">
        <f>SUM(H230)</f>
        <v>0</v>
      </c>
      <c r="I229" s="22">
        <f>SUM(I230)</f>
        <v>0</v>
      </c>
      <c r="K229" s="32"/>
      <c r="L229" s="692"/>
      <c r="M229" s="33"/>
      <c r="AW229" s="132"/>
      <c r="AX229" s="132"/>
      <c r="AY229" s="132"/>
      <c r="AZ229" s="132"/>
    </row>
    <row r="230" spans="2:52" ht="45" customHeight="1" x14ac:dyDescent="0.25">
      <c r="B230" s="20" t="s">
        <v>1109</v>
      </c>
      <c r="C230" s="21" t="s">
        <v>1118</v>
      </c>
      <c r="D230" s="677">
        <v>406</v>
      </c>
      <c r="E230" s="677" t="s">
        <v>37</v>
      </c>
      <c r="F230" s="22">
        <f>SUM(F231:F234)</f>
        <v>0</v>
      </c>
      <c r="G230" s="22">
        <f>SUM(G231:G234)</f>
        <v>0</v>
      </c>
      <c r="H230" s="22">
        <f>SUM(H231:H234)</f>
        <v>0</v>
      </c>
      <c r="I230" s="22">
        <f>SUM(I231:I234)</f>
        <v>0</v>
      </c>
      <c r="K230" s="32"/>
      <c r="L230" s="692"/>
      <c r="M230" s="33"/>
      <c r="AW230" s="132"/>
      <c r="AX230" s="132"/>
      <c r="AY230" s="132"/>
      <c r="AZ230" s="132"/>
    </row>
    <row r="231" spans="2:52" ht="27.6" x14ac:dyDescent="0.25">
      <c r="B231" s="39" t="s">
        <v>1103</v>
      </c>
      <c r="C231" s="21"/>
      <c r="D231" s="677">
        <v>406</v>
      </c>
      <c r="E231" s="677">
        <v>220</v>
      </c>
      <c r="F231" s="22"/>
      <c r="G231" s="22"/>
      <c r="H231" s="22"/>
      <c r="I231" s="22"/>
      <c r="K231" s="32"/>
      <c r="L231" s="695"/>
      <c r="M231" s="33"/>
      <c r="AW231" s="132"/>
      <c r="AX231" s="132"/>
      <c r="AY231" s="132"/>
      <c r="AZ231" s="132"/>
    </row>
    <row r="232" spans="2:52" x14ac:dyDescent="0.25">
      <c r="B232" s="36" t="s">
        <v>1110</v>
      </c>
      <c r="C232" s="21"/>
      <c r="D232" s="677">
        <v>406</v>
      </c>
      <c r="E232" s="677">
        <v>290</v>
      </c>
      <c r="F232" s="22"/>
      <c r="G232" s="22"/>
      <c r="H232" s="22"/>
      <c r="I232" s="34"/>
      <c r="K232" s="32"/>
      <c r="L232" s="692"/>
      <c r="M232" s="33"/>
      <c r="AW232" s="132"/>
      <c r="AX232" s="132"/>
      <c r="AY232" s="132"/>
      <c r="AZ232" s="132"/>
    </row>
    <row r="233" spans="2:52" x14ac:dyDescent="0.25">
      <c r="B233" s="39" t="s">
        <v>1104</v>
      </c>
      <c r="C233" s="21"/>
      <c r="D233" s="677">
        <v>406</v>
      </c>
      <c r="E233" s="677">
        <v>310</v>
      </c>
      <c r="F233" s="22"/>
      <c r="G233" s="22"/>
      <c r="H233" s="22"/>
      <c r="I233" s="22"/>
      <c r="K233" s="32"/>
      <c r="L233" s="695"/>
      <c r="M233" s="33"/>
      <c r="AW233" s="132"/>
      <c r="AX233" s="132"/>
      <c r="AY233" s="132"/>
      <c r="AZ233" s="132"/>
    </row>
    <row r="234" spans="2:52" ht="15" customHeight="1" x14ac:dyDescent="0.25">
      <c r="B234" s="39" t="s">
        <v>1111</v>
      </c>
      <c r="C234" s="21"/>
      <c r="D234" s="677">
        <v>406</v>
      </c>
      <c r="E234" s="677">
        <v>330</v>
      </c>
      <c r="F234" s="22"/>
      <c r="G234" s="22"/>
      <c r="H234" s="22"/>
      <c r="I234" s="22"/>
      <c r="K234" s="32"/>
      <c r="L234" s="695"/>
      <c r="M234" s="33"/>
      <c r="AW234" s="132"/>
      <c r="AX234" s="132"/>
      <c r="AY234" s="132"/>
      <c r="AZ234" s="132"/>
    </row>
    <row r="235" spans="2:52" ht="41.4" x14ac:dyDescent="0.25">
      <c r="B235" s="20" t="s">
        <v>1112</v>
      </c>
      <c r="C235" s="21" t="s">
        <v>930</v>
      </c>
      <c r="D235" s="677">
        <v>407</v>
      </c>
      <c r="E235" s="677" t="s">
        <v>37</v>
      </c>
      <c r="F235" s="22">
        <f>SUM(F236)</f>
        <v>0</v>
      </c>
      <c r="G235" s="22">
        <f>SUM(G236)</f>
        <v>0</v>
      </c>
      <c r="H235" s="22">
        <f>SUM(H236)</f>
        <v>0</v>
      </c>
      <c r="I235" s="22">
        <f>SUM(I236)</f>
        <v>0</v>
      </c>
      <c r="K235" s="32"/>
      <c r="L235" s="692"/>
      <c r="M235" s="33"/>
      <c r="AW235" s="132"/>
      <c r="AX235" s="132"/>
      <c r="AY235" s="132"/>
      <c r="AZ235" s="132"/>
    </row>
    <row r="236" spans="2:52" ht="45" customHeight="1" x14ac:dyDescent="0.25">
      <c r="B236" s="20" t="s">
        <v>1109</v>
      </c>
      <c r="C236" s="21" t="s">
        <v>1119</v>
      </c>
      <c r="D236" s="677">
        <v>407</v>
      </c>
      <c r="E236" s="677" t="s">
        <v>37</v>
      </c>
      <c r="F236" s="22">
        <f>SUM(F237:F241)</f>
        <v>0</v>
      </c>
      <c r="G236" s="22">
        <f>SUM(G237:G241)</f>
        <v>0</v>
      </c>
      <c r="H236" s="22">
        <f>SUM(H237:H241)</f>
        <v>0</v>
      </c>
      <c r="I236" s="22">
        <f>SUM(I237:I241)</f>
        <v>0</v>
      </c>
      <c r="K236" s="32"/>
      <c r="L236" s="692"/>
      <c r="M236" s="33"/>
      <c r="AW236" s="132"/>
      <c r="AX236" s="132"/>
      <c r="AY236" s="132"/>
      <c r="AZ236" s="132"/>
    </row>
    <row r="237" spans="2:52" ht="27.6" x14ac:dyDescent="0.25">
      <c r="B237" s="39" t="s">
        <v>1103</v>
      </c>
      <c r="C237" s="21"/>
      <c r="D237" s="677">
        <v>407</v>
      </c>
      <c r="E237" s="677">
        <v>220</v>
      </c>
      <c r="F237" s="22"/>
      <c r="G237" s="22"/>
      <c r="H237" s="22"/>
      <c r="I237" s="22"/>
      <c r="K237" s="32"/>
      <c r="L237" s="695"/>
      <c r="M237" s="33"/>
      <c r="AW237" s="132"/>
      <c r="AX237" s="132"/>
      <c r="AY237" s="132"/>
      <c r="AZ237" s="132"/>
    </row>
    <row r="238" spans="2:52" x14ac:dyDescent="0.25">
      <c r="B238" s="36" t="s">
        <v>1110</v>
      </c>
      <c r="C238" s="21"/>
      <c r="D238" s="677">
        <v>407</v>
      </c>
      <c r="E238" s="677">
        <v>290</v>
      </c>
      <c r="F238" s="22"/>
      <c r="G238" s="22"/>
      <c r="H238" s="22"/>
      <c r="I238" s="34"/>
      <c r="K238" s="32"/>
      <c r="L238" s="692"/>
      <c r="M238" s="33"/>
      <c r="AW238" s="132"/>
      <c r="AX238" s="132"/>
      <c r="AY238" s="132"/>
      <c r="AZ238" s="132"/>
    </row>
    <row r="239" spans="2:52" x14ac:dyDescent="0.25">
      <c r="B239" s="39" t="s">
        <v>1104</v>
      </c>
      <c r="C239" s="21"/>
      <c r="D239" s="677">
        <v>407</v>
      </c>
      <c r="E239" s="677">
        <v>310</v>
      </c>
      <c r="F239" s="22"/>
      <c r="G239" s="22"/>
      <c r="H239" s="22"/>
      <c r="I239" s="22"/>
      <c r="K239" s="32"/>
      <c r="L239" s="695"/>
      <c r="M239" s="33"/>
      <c r="AW239" s="132"/>
      <c r="AX239" s="132"/>
      <c r="AY239" s="132"/>
      <c r="AZ239" s="132"/>
    </row>
    <row r="240" spans="2:52" ht="15" customHeight="1" x14ac:dyDescent="0.25">
      <c r="B240" s="39" t="s">
        <v>1111</v>
      </c>
      <c r="C240" s="21"/>
      <c r="D240" s="677">
        <v>407</v>
      </c>
      <c r="E240" s="677">
        <v>330</v>
      </c>
      <c r="F240" s="22"/>
      <c r="G240" s="22"/>
      <c r="H240" s="22"/>
      <c r="I240" s="22"/>
      <c r="K240" s="32"/>
      <c r="L240" s="695"/>
      <c r="M240" s="33"/>
      <c r="AW240" s="132"/>
      <c r="AX240" s="132"/>
      <c r="AY240" s="132"/>
      <c r="AZ240" s="132"/>
    </row>
    <row r="241" spans="1:52" ht="15" customHeight="1" x14ac:dyDescent="0.25">
      <c r="B241" s="39" t="s">
        <v>1105</v>
      </c>
      <c r="C241" s="21"/>
      <c r="D241" s="677">
        <v>407</v>
      </c>
      <c r="E241" s="677">
        <v>340</v>
      </c>
      <c r="F241" s="22"/>
      <c r="G241" s="22"/>
      <c r="H241" s="22"/>
      <c r="I241" s="22"/>
      <c r="K241" s="32"/>
      <c r="L241" s="695"/>
      <c r="M241" s="33"/>
      <c r="AW241" s="132"/>
      <c r="AX241" s="132"/>
      <c r="AY241" s="132"/>
      <c r="AZ241" s="132"/>
    </row>
    <row r="242" spans="1:52" s="28" customFormat="1" x14ac:dyDescent="0.25">
      <c r="A242" s="23"/>
      <c r="B242" s="24" t="s">
        <v>175</v>
      </c>
      <c r="C242" s="25" t="s">
        <v>176</v>
      </c>
      <c r="D242" s="26">
        <v>100</v>
      </c>
      <c r="E242" s="26" t="s">
        <v>37</v>
      </c>
      <c r="F242" s="27">
        <f>SUM(F243:F245)</f>
        <v>0</v>
      </c>
      <c r="G242" s="27">
        <f>SUM(G243:G245)</f>
        <v>0</v>
      </c>
      <c r="H242" s="27">
        <f>SUM(H243:H245)</f>
        <v>0</v>
      </c>
      <c r="I242" s="40" t="s">
        <v>37</v>
      </c>
      <c r="J242" s="137"/>
      <c r="K242" s="35"/>
      <c r="L242" s="692"/>
      <c r="M242" s="11"/>
      <c r="AW242" s="132"/>
      <c r="AX242" s="132"/>
      <c r="AY242" s="132"/>
      <c r="AZ242" s="132"/>
    </row>
    <row r="243" spans="1:52" ht="27.6" x14ac:dyDescent="0.25">
      <c r="B243" s="20" t="s">
        <v>1113</v>
      </c>
      <c r="C243" s="21" t="s">
        <v>177</v>
      </c>
      <c r="D243" s="677">
        <v>110</v>
      </c>
      <c r="E243" s="677">
        <v>180</v>
      </c>
      <c r="F243" s="22">
        <f>'Утверждено (ПДД)'!E58</f>
        <v>0</v>
      </c>
      <c r="G243" s="22">
        <f>'Утверждено (ПДД)'!F58</f>
        <v>0</v>
      </c>
      <c r="H243" s="22">
        <f>'Утверждено (ПДД)'!G58</f>
        <v>0</v>
      </c>
      <c r="I243" s="34" t="s">
        <v>37</v>
      </c>
      <c r="K243" s="32">
        <v>2</v>
      </c>
      <c r="L243" s="692">
        <v>189</v>
      </c>
      <c r="M243" s="33" t="s">
        <v>178</v>
      </c>
      <c r="AW243" s="132"/>
      <c r="AX243" s="132"/>
      <c r="AY243" s="132"/>
      <c r="AZ243" s="132"/>
    </row>
    <row r="244" spans="1:52" x14ac:dyDescent="0.25">
      <c r="B244" s="20" t="s">
        <v>1114</v>
      </c>
      <c r="C244" s="21" t="s">
        <v>179</v>
      </c>
      <c r="D244" s="677">
        <v>110</v>
      </c>
      <c r="E244" s="677">
        <v>180</v>
      </c>
      <c r="F244" s="22">
        <f>'Утверждено (ПДД)'!E69</f>
        <v>0</v>
      </c>
      <c r="G244" s="22">
        <f>'Утверждено (ПДД)'!F69</f>
        <v>0</v>
      </c>
      <c r="H244" s="22">
        <f>'Утверждено (ПДД)'!G69</f>
        <v>0</v>
      </c>
      <c r="I244" s="34" t="s">
        <v>37</v>
      </c>
      <c r="K244" s="32">
        <v>2</v>
      </c>
      <c r="L244" s="692">
        <v>189</v>
      </c>
      <c r="M244" s="33" t="s">
        <v>178</v>
      </c>
      <c r="AW244" s="132"/>
      <c r="AX244" s="132"/>
      <c r="AY244" s="132"/>
      <c r="AZ244" s="132"/>
    </row>
    <row r="245" spans="1:52" x14ac:dyDescent="0.25">
      <c r="B245" s="20" t="s">
        <v>1115</v>
      </c>
      <c r="C245" s="21" t="s">
        <v>180</v>
      </c>
      <c r="D245" s="677" t="s">
        <v>37</v>
      </c>
      <c r="E245" s="677" t="s">
        <v>37</v>
      </c>
      <c r="F245" s="22"/>
      <c r="G245" s="22"/>
      <c r="H245" s="22"/>
      <c r="I245" s="34" t="s">
        <v>37</v>
      </c>
      <c r="K245" s="32"/>
      <c r="L245" s="692"/>
      <c r="M245" s="33"/>
      <c r="AW245" s="132"/>
      <c r="AX245" s="132"/>
      <c r="AY245" s="132"/>
      <c r="AZ245" s="132"/>
    </row>
    <row r="246" spans="1:52" s="28" customFormat="1" x14ac:dyDescent="0.25">
      <c r="A246" s="23"/>
      <c r="B246" s="24" t="s">
        <v>181</v>
      </c>
      <c r="C246" s="25" t="s">
        <v>182</v>
      </c>
      <c r="D246" s="26" t="s">
        <v>37</v>
      </c>
      <c r="E246" s="26" t="s">
        <v>37</v>
      </c>
      <c r="F246" s="27"/>
      <c r="G246" s="27"/>
      <c r="H246" s="27"/>
      <c r="I246" s="40" t="s">
        <v>37</v>
      </c>
      <c r="J246" s="141"/>
      <c r="K246" s="32" t="s">
        <v>75</v>
      </c>
      <c r="L246" s="692">
        <v>610</v>
      </c>
      <c r="M246" s="33" t="s">
        <v>183</v>
      </c>
      <c r="AW246" s="132"/>
      <c r="AX246" s="132"/>
      <c r="AY246" s="132"/>
      <c r="AZ246" s="132"/>
    </row>
    <row r="247" spans="1:52" ht="27.6" x14ac:dyDescent="0.25">
      <c r="B247" s="20" t="s">
        <v>1116</v>
      </c>
      <c r="C247" s="21" t="s">
        <v>185</v>
      </c>
      <c r="D247" s="677">
        <v>610</v>
      </c>
      <c r="E247" s="677">
        <v>610</v>
      </c>
      <c r="F247" s="22"/>
      <c r="G247" s="22"/>
      <c r="H247" s="22"/>
      <c r="I247" s="34" t="s">
        <v>37</v>
      </c>
      <c r="K247" s="32" t="s">
        <v>75</v>
      </c>
      <c r="L247" s="692">
        <v>610</v>
      </c>
      <c r="M247" s="33" t="s">
        <v>186</v>
      </c>
      <c r="AW247" s="132"/>
      <c r="AX247" s="132"/>
      <c r="AY247" s="132"/>
      <c r="AZ247" s="132"/>
    </row>
    <row r="248" spans="1:52" x14ac:dyDescent="0.25">
      <c r="K248" s="32"/>
      <c r="L248" s="681"/>
      <c r="M248" s="33"/>
      <c r="AW248" s="133"/>
      <c r="AX248" s="133"/>
      <c r="AY248" s="133"/>
      <c r="AZ248" s="133"/>
    </row>
    <row r="249" spans="1:52" x14ac:dyDescent="0.25">
      <c r="K249" s="32"/>
      <c r="L249" s="681"/>
      <c r="M249" s="33"/>
      <c r="AW249" s="133"/>
      <c r="AX249" s="133"/>
      <c r="AY249" s="133"/>
      <c r="AZ249" s="133"/>
    </row>
    <row r="250" spans="1:52" ht="15" customHeight="1" x14ac:dyDescent="0.25">
      <c r="B250" s="134" t="s">
        <v>187</v>
      </c>
      <c r="C250" s="123"/>
      <c r="D250" s="123"/>
      <c r="E250" s="123"/>
      <c r="F250" s="558"/>
      <c r="G250" s="558"/>
      <c r="H250" s="558"/>
      <c r="I250" s="558"/>
      <c r="K250" s="32"/>
      <c r="L250" s="681"/>
      <c r="M250" s="33"/>
      <c r="AW250" s="133"/>
      <c r="AX250" s="133"/>
      <c r="AY250" s="133"/>
      <c r="AZ250" s="133"/>
    </row>
    <row r="251" spans="1:52" x14ac:dyDescent="0.25">
      <c r="K251" s="32"/>
      <c r="L251" s="681"/>
      <c r="M251" s="33"/>
      <c r="AW251" s="133"/>
      <c r="AX251" s="133"/>
      <c r="AY251" s="133"/>
      <c r="AZ251" s="133"/>
    </row>
    <row r="252" spans="1:52" ht="15" customHeight="1" x14ac:dyDescent="0.25">
      <c r="A252" s="860" t="s">
        <v>188</v>
      </c>
      <c r="B252" s="864" t="s">
        <v>29</v>
      </c>
      <c r="C252" s="860" t="s">
        <v>189</v>
      </c>
      <c r="D252" s="860" t="s">
        <v>190</v>
      </c>
      <c r="E252" s="864" t="s">
        <v>31</v>
      </c>
      <c r="F252" s="146" t="s">
        <v>33</v>
      </c>
      <c r="G252" s="147"/>
      <c r="H252" s="147"/>
      <c r="I252" s="148"/>
      <c r="K252" s="32"/>
      <c r="L252" s="681"/>
      <c r="M252" s="33"/>
      <c r="AW252" s="133"/>
      <c r="AX252" s="133"/>
      <c r="AY252" s="133"/>
      <c r="AZ252" s="133"/>
    </row>
    <row r="253" spans="1:52" ht="60.75" customHeight="1" x14ac:dyDescent="0.25">
      <c r="A253" s="860"/>
      <c r="B253" s="865"/>
      <c r="C253" s="860"/>
      <c r="D253" s="860"/>
      <c r="E253" s="865"/>
      <c r="F253" s="557" t="str">
        <f>F57</f>
        <v>на 2024 г. текущий финансовый год</v>
      </c>
      <c r="G253" s="676" t="str">
        <f>G57</f>
        <v>на 2025 г. первый год планового периода</v>
      </c>
      <c r="H253" s="676" t="str">
        <f>H57</f>
        <v>на 2026 г. второй год планового периода</v>
      </c>
      <c r="I253" s="557" t="s">
        <v>34</v>
      </c>
      <c r="K253" s="32"/>
      <c r="L253" s="681"/>
      <c r="M253" s="33"/>
      <c r="AW253" s="133"/>
      <c r="AX253" s="133"/>
      <c r="AY253" s="133"/>
      <c r="AZ253" s="133"/>
    </row>
    <row r="254" spans="1:52" x14ac:dyDescent="0.25">
      <c r="A254" s="15">
        <v>1</v>
      </c>
      <c r="B254" s="149">
        <v>2</v>
      </c>
      <c r="C254" s="15">
        <v>3</v>
      </c>
      <c r="D254" s="15">
        <v>4</v>
      </c>
      <c r="E254" s="150" t="s">
        <v>402</v>
      </c>
      <c r="F254" s="559">
        <v>5</v>
      </c>
      <c r="G254" s="559">
        <v>6</v>
      </c>
      <c r="H254" s="559">
        <v>7</v>
      </c>
      <c r="I254" s="559">
        <v>8</v>
      </c>
      <c r="K254" s="32"/>
      <c r="L254" s="681"/>
      <c r="M254" s="33"/>
      <c r="AW254" s="133"/>
      <c r="AX254" s="133"/>
      <c r="AY254" s="133"/>
      <c r="AZ254" s="133"/>
    </row>
    <row r="255" spans="1:52" x14ac:dyDescent="0.25">
      <c r="A255" s="15" t="s">
        <v>191</v>
      </c>
      <c r="B255" s="145" t="s">
        <v>192</v>
      </c>
      <c r="C255" s="15">
        <v>26000</v>
      </c>
      <c r="D255" s="144" t="s">
        <v>37</v>
      </c>
      <c r="E255" s="144" t="s">
        <v>37</v>
      </c>
      <c r="F255" s="22">
        <f>F188</f>
        <v>7071850.6900000004</v>
      </c>
      <c r="G255" s="22">
        <f>G188</f>
        <v>5601996.8600000003</v>
      </c>
      <c r="H255" s="22">
        <f>H188</f>
        <v>5601996.8600000003</v>
      </c>
      <c r="I255" s="22">
        <f>I188</f>
        <v>0</v>
      </c>
      <c r="K255" s="32"/>
      <c r="L255" s="681"/>
      <c r="M255" s="33"/>
      <c r="AW255" s="132"/>
      <c r="AX255" s="132"/>
      <c r="AY255" s="132"/>
      <c r="AZ255" s="132"/>
    </row>
    <row r="256" spans="1:52" ht="167.25" customHeight="1" x14ac:dyDescent="0.25">
      <c r="A256" s="15" t="s">
        <v>193</v>
      </c>
      <c r="B256" s="145" t="s">
        <v>985</v>
      </c>
      <c r="C256" s="15">
        <v>26100</v>
      </c>
      <c r="D256" s="144" t="s">
        <v>37</v>
      </c>
      <c r="E256" s="144" t="s">
        <v>37</v>
      </c>
      <c r="F256" s="22"/>
      <c r="G256" s="22"/>
      <c r="H256" s="22"/>
      <c r="I256" s="22"/>
      <c r="K256" s="32" t="s">
        <v>75</v>
      </c>
      <c r="L256" s="681"/>
      <c r="M256" s="33" t="s">
        <v>194</v>
      </c>
      <c r="AW256" s="132"/>
      <c r="AX256" s="132"/>
      <c r="AY256" s="132"/>
      <c r="AZ256" s="132"/>
    </row>
    <row r="257" spans="1:52" ht="55.2" x14ac:dyDescent="0.25">
      <c r="A257" s="15" t="s">
        <v>195</v>
      </c>
      <c r="B257" s="145" t="s">
        <v>986</v>
      </c>
      <c r="C257" s="15">
        <v>26200</v>
      </c>
      <c r="D257" s="144" t="s">
        <v>37</v>
      </c>
      <c r="E257" s="144" t="s">
        <v>37</v>
      </c>
      <c r="F257" s="22">
        <f>'таблица к разделу 2'!B16+'таблица к разделу 2'!H16+'таблица к разделу 2'!G16</f>
        <v>3623424.68</v>
      </c>
      <c r="G257" s="22">
        <f>'таблица к разделу 2'!B32+'таблица к разделу 2'!G32+'таблица к разделу 2'!H32</f>
        <v>3516211.4</v>
      </c>
      <c r="H257" s="22">
        <f>'таблица к разделу 2'!B49+'таблица к разделу 2'!G49+'таблица к разделу 2'!H49</f>
        <v>3516211.4</v>
      </c>
      <c r="I257" s="22"/>
      <c r="K257" s="32" t="s">
        <v>75</v>
      </c>
      <c r="L257" s="681"/>
      <c r="M257" s="33" t="s">
        <v>196</v>
      </c>
      <c r="AW257" s="132"/>
      <c r="AX257" s="132"/>
      <c r="AY257" s="132"/>
      <c r="AZ257" s="132"/>
    </row>
    <row r="258" spans="1:52" ht="60" customHeight="1" x14ac:dyDescent="0.25">
      <c r="A258" s="15" t="s">
        <v>197</v>
      </c>
      <c r="B258" s="145" t="s">
        <v>987</v>
      </c>
      <c r="C258" s="15">
        <v>26300</v>
      </c>
      <c r="D258" s="144" t="s">
        <v>37</v>
      </c>
      <c r="E258" s="144" t="s">
        <v>37</v>
      </c>
      <c r="F258" s="22">
        <f>SUM(F259,F260,F263)</f>
        <v>394824.89</v>
      </c>
      <c r="G258" s="22">
        <f>SUM(G259,G260,G261)</f>
        <v>94372.31</v>
      </c>
      <c r="H258" s="22">
        <f>SUM(H259,H260,H261)</f>
        <v>0</v>
      </c>
      <c r="I258" s="22">
        <f>SUM(I259,I260)</f>
        <v>0</v>
      </c>
      <c r="K258" s="32" t="s">
        <v>75</v>
      </c>
      <c r="L258" s="681"/>
      <c r="M258" s="33" t="s">
        <v>194</v>
      </c>
      <c r="AW258" s="132"/>
      <c r="AX258" s="132"/>
      <c r="AY258" s="132"/>
      <c r="AZ258" s="132"/>
    </row>
    <row r="259" spans="1:52" ht="27.6" hidden="1" x14ac:dyDescent="0.25">
      <c r="A259" s="675"/>
      <c r="B259" s="145" t="s">
        <v>198</v>
      </c>
      <c r="C259" s="675"/>
      <c r="D259" s="675"/>
      <c r="E259" s="675"/>
      <c r="F259" s="22">
        <v>0</v>
      </c>
      <c r="G259" s="22">
        <v>0</v>
      </c>
      <c r="H259" s="22">
        <v>0</v>
      </c>
      <c r="I259" s="22">
        <f>I261</f>
        <v>0</v>
      </c>
      <c r="K259" s="32"/>
      <c r="L259" s="681"/>
      <c r="M259" s="33"/>
      <c r="AW259" s="132"/>
      <c r="AX259" s="132"/>
      <c r="AY259" s="132"/>
      <c r="AZ259" s="132"/>
    </row>
    <row r="260" spans="1:52" hidden="1" x14ac:dyDescent="0.25">
      <c r="A260" s="675"/>
      <c r="B260" s="145" t="s">
        <v>199</v>
      </c>
      <c r="C260" s="675"/>
      <c r="D260" s="675"/>
      <c r="E260" s="675"/>
      <c r="F260" s="22">
        <v>0</v>
      </c>
      <c r="G260" s="22">
        <f>G263</f>
        <v>94372.31</v>
      </c>
      <c r="H260" s="22">
        <f>H263</f>
        <v>0</v>
      </c>
      <c r="I260" s="22">
        <f>I263</f>
        <v>0</v>
      </c>
      <c r="K260" s="32"/>
      <c r="L260" s="681"/>
      <c r="M260" s="33"/>
      <c r="AW260" s="132"/>
      <c r="AX260" s="132"/>
      <c r="AY260" s="132"/>
      <c r="AZ260" s="132"/>
    </row>
    <row r="261" spans="1:52" ht="29.25" customHeight="1" x14ac:dyDescent="0.25">
      <c r="A261" s="21" t="s">
        <v>407</v>
      </c>
      <c r="B261" s="145" t="s">
        <v>198</v>
      </c>
      <c r="C261" s="15">
        <v>26310</v>
      </c>
      <c r="D261" s="144" t="s">
        <v>37</v>
      </c>
      <c r="E261" s="144" t="s">
        <v>37</v>
      </c>
      <c r="G261" s="22"/>
      <c r="H261" s="22">
        <f>'таблица к разделу 2'!I48+'таблица к разделу 2'!I40</f>
        <v>0</v>
      </c>
      <c r="I261" s="22"/>
      <c r="K261" s="32" t="s">
        <v>75</v>
      </c>
      <c r="L261" s="681"/>
      <c r="M261" s="33"/>
      <c r="AW261" s="132"/>
      <c r="AX261" s="132"/>
      <c r="AY261" s="132"/>
      <c r="AZ261" s="132"/>
    </row>
    <row r="262" spans="1:52" x14ac:dyDescent="0.25">
      <c r="A262" s="21"/>
      <c r="B262" s="145" t="s">
        <v>404</v>
      </c>
      <c r="C262" s="144" t="s">
        <v>405</v>
      </c>
      <c r="D262" s="144" t="s">
        <v>37</v>
      </c>
      <c r="E262" s="144"/>
      <c r="F262" s="22"/>
      <c r="G262" s="22"/>
      <c r="H262" s="22"/>
      <c r="I262" s="22"/>
      <c r="K262" s="32"/>
      <c r="L262" s="681"/>
      <c r="M262" s="33"/>
      <c r="AW262" s="132"/>
      <c r="AX262" s="132"/>
      <c r="AY262" s="132"/>
      <c r="AZ262" s="132"/>
    </row>
    <row r="263" spans="1:52" ht="16.5" customHeight="1" x14ac:dyDescent="0.25">
      <c r="A263" s="21" t="s">
        <v>408</v>
      </c>
      <c r="B263" s="145" t="s">
        <v>199</v>
      </c>
      <c r="C263" s="15">
        <v>26320</v>
      </c>
      <c r="D263" s="144" t="s">
        <v>37</v>
      </c>
      <c r="E263" s="144" t="s">
        <v>37</v>
      </c>
      <c r="F263" s="22">
        <f>'таблица к разделу 2'!I14+'таблица к разделу 2'!I4</f>
        <v>394824.89</v>
      </c>
      <c r="G263" s="22">
        <f>'таблица к разделу 2'!I31</f>
        <v>94372.31</v>
      </c>
      <c r="H263" s="22"/>
      <c r="I263" s="22"/>
      <c r="K263" s="32" t="s">
        <v>75</v>
      </c>
      <c r="L263" s="681"/>
      <c r="M263" s="33"/>
      <c r="AW263" s="132"/>
      <c r="AX263" s="132"/>
      <c r="AY263" s="132"/>
      <c r="AZ263" s="132"/>
    </row>
    <row r="264" spans="1:52" ht="59.25" customHeight="1" x14ac:dyDescent="0.25">
      <c r="A264" s="15" t="s">
        <v>200</v>
      </c>
      <c r="B264" s="145" t="s">
        <v>988</v>
      </c>
      <c r="C264" s="15">
        <v>26400</v>
      </c>
      <c r="D264" s="144" t="s">
        <v>37</v>
      </c>
      <c r="E264" s="144" t="s">
        <v>37</v>
      </c>
      <c r="F264" s="22">
        <f>SUM(F265,F268,F272,F274)</f>
        <v>3053601.12</v>
      </c>
      <c r="G264" s="22">
        <f>SUM(G265,G268,G272,G274)</f>
        <v>1991413.15</v>
      </c>
      <c r="H264" s="22">
        <f>SUM(H265,H268,H272,H274)</f>
        <v>2085785.46</v>
      </c>
      <c r="I264" s="22">
        <f>SUM(I265,I268,I272,I274)</f>
        <v>0</v>
      </c>
      <c r="K264" s="32" t="s">
        <v>75</v>
      </c>
      <c r="L264" s="681"/>
      <c r="M264" s="33" t="s">
        <v>196</v>
      </c>
      <c r="AW264" s="132"/>
      <c r="AX264" s="132"/>
      <c r="AY264" s="132"/>
      <c r="AZ264" s="132"/>
    </row>
    <row r="265" spans="1:52" ht="45.75" customHeight="1" x14ac:dyDescent="0.25">
      <c r="A265" s="15" t="s">
        <v>201</v>
      </c>
      <c r="B265" s="145" t="s">
        <v>202</v>
      </c>
      <c r="C265" s="15">
        <v>26410</v>
      </c>
      <c r="D265" s="144" t="s">
        <v>37</v>
      </c>
      <c r="E265" s="144" t="s">
        <v>37</v>
      </c>
      <c r="F265" s="22">
        <f>SUM(F267:F267)</f>
        <v>1958034.57</v>
      </c>
      <c r="G265" s="22">
        <f>SUM(G267:G267)</f>
        <v>1142990.3899999999</v>
      </c>
      <c r="H265" s="22">
        <f>SUM(H267:H267)</f>
        <v>1231182.46</v>
      </c>
      <c r="I265" s="22">
        <f>SUM(I266:I267)</f>
        <v>0</v>
      </c>
      <c r="K265" s="32">
        <v>4</v>
      </c>
      <c r="L265" s="681"/>
      <c r="M265" s="33"/>
      <c r="AW265" s="132"/>
      <c r="AX265" s="132"/>
      <c r="AY265" s="132"/>
      <c r="AZ265" s="132"/>
    </row>
    <row r="266" spans="1:52" ht="29.25" customHeight="1" x14ac:dyDescent="0.25">
      <c r="A266" s="15" t="s">
        <v>203</v>
      </c>
      <c r="B266" s="145" t="s">
        <v>198</v>
      </c>
      <c r="C266" s="15">
        <v>26411</v>
      </c>
      <c r="D266" s="144" t="s">
        <v>37</v>
      </c>
      <c r="E266" s="144" t="s">
        <v>37</v>
      </c>
      <c r="F266" s="41"/>
      <c r="G266" s="41"/>
      <c r="H266" s="41"/>
      <c r="I266" s="22"/>
      <c r="K266" s="32"/>
      <c r="L266" s="681"/>
      <c r="M266" s="33"/>
      <c r="AW266" s="132"/>
      <c r="AX266" s="132"/>
      <c r="AY266" s="132"/>
      <c r="AZ266" s="132"/>
    </row>
    <row r="267" spans="1:52" ht="16.5" customHeight="1" x14ac:dyDescent="0.25">
      <c r="A267" s="15" t="s">
        <v>204</v>
      </c>
      <c r="B267" s="145" t="s">
        <v>199</v>
      </c>
      <c r="C267" s="15">
        <v>26412</v>
      </c>
      <c r="D267" s="144" t="s">
        <v>37</v>
      </c>
      <c r="E267" s="144" t="s">
        <v>37</v>
      </c>
      <c r="F267" s="22">
        <f>F209+F222-'таблица к разделу 2'!B15-'таблица к разделу 2'!B14-'таблица к разделу 2'!C14-'таблица к разделу 2'!D14-'таблица к разделу 2'!E14-'таблица к разделу 2'!F14-'таблица к разделу 2'!I4</f>
        <v>1958034.57</v>
      </c>
      <c r="G267" s="22">
        <f>G209+G222-'таблица к разделу 2'!B31-'таблица к разделу 2'!C31-'таблица к разделу 2'!D31-'таблица к разделу 2'!E31-'таблица к разделу 2'!F31-'таблица к разделу 2'!F32-'таблица к разделу 2'!E32-'таблица к разделу 2'!C32-'таблица к разделу 2'!B32</f>
        <v>1142990.3899999999</v>
      </c>
      <c r="H267" s="22">
        <f>H209+H222-'таблица к разделу 2'!B49-'таблица к разделу 2'!B48-'таблица к разделу 2'!C48-'таблица к разделу 2'!D48-'таблица к разделу 2'!E48-'таблица к разделу 2'!F48</f>
        <v>1231182.46</v>
      </c>
      <c r="I267" s="22"/>
      <c r="K267" s="32"/>
      <c r="L267" s="681"/>
      <c r="M267" s="33"/>
      <c r="AW267" s="132"/>
      <c r="AX267" s="132"/>
      <c r="AY267" s="132"/>
      <c r="AZ267" s="132"/>
    </row>
    <row r="268" spans="1:52" ht="46.5" customHeight="1" x14ac:dyDescent="0.25">
      <c r="A268" s="15" t="s">
        <v>205</v>
      </c>
      <c r="B268" s="145" t="s">
        <v>403</v>
      </c>
      <c r="C268" s="15">
        <v>26420</v>
      </c>
      <c r="D268" s="144" t="s">
        <v>37</v>
      </c>
      <c r="E268" s="144" t="s">
        <v>37</v>
      </c>
      <c r="F268" s="22">
        <f>SUM(F269:F271)</f>
        <v>57806.41</v>
      </c>
      <c r="G268" s="22">
        <f>SUM(G269:G271)</f>
        <v>0</v>
      </c>
      <c r="H268" s="22">
        <f>SUM(H269:H271)</f>
        <v>0</v>
      </c>
      <c r="I268" s="22">
        <f>SUM(I269:I271)</f>
        <v>0</v>
      </c>
      <c r="K268" s="32">
        <v>5</v>
      </c>
      <c r="L268" s="681"/>
      <c r="M268" s="33"/>
      <c r="AW268" s="132"/>
      <c r="AX268" s="132"/>
      <c r="AY268" s="132"/>
      <c r="AZ268" s="132"/>
    </row>
    <row r="269" spans="1:52" ht="30.75" customHeight="1" x14ac:dyDescent="0.25">
      <c r="A269" s="15" t="s">
        <v>206</v>
      </c>
      <c r="B269" s="145" t="s">
        <v>198</v>
      </c>
      <c r="C269" s="15">
        <v>26421</v>
      </c>
      <c r="D269" s="144" t="s">
        <v>37</v>
      </c>
      <c r="E269" s="144" t="s">
        <v>37</v>
      </c>
      <c r="F269" s="22">
        <v>0</v>
      </c>
      <c r="G269" s="22">
        <f>G217</f>
        <v>0</v>
      </c>
      <c r="H269" s="22">
        <f>H217</f>
        <v>0</v>
      </c>
      <c r="I269" s="22"/>
      <c r="K269" s="32"/>
      <c r="L269" s="681"/>
      <c r="M269" s="33"/>
      <c r="AW269" s="132"/>
      <c r="AX269" s="132"/>
      <c r="AY269" s="132"/>
      <c r="AZ269" s="132"/>
    </row>
    <row r="270" spans="1:52" x14ac:dyDescent="0.25">
      <c r="A270" s="144"/>
      <c r="B270" s="145" t="s">
        <v>404</v>
      </c>
      <c r="C270" s="144" t="s">
        <v>406</v>
      </c>
      <c r="D270" s="144" t="s">
        <v>37</v>
      </c>
      <c r="E270" s="144"/>
      <c r="F270" s="22"/>
      <c r="G270" s="22"/>
      <c r="H270" s="22"/>
      <c r="I270" s="22"/>
      <c r="K270" s="32"/>
      <c r="L270" s="681"/>
      <c r="M270" s="33"/>
      <c r="AW270" s="132"/>
      <c r="AX270" s="132"/>
      <c r="AY270" s="132"/>
      <c r="AZ270" s="132"/>
    </row>
    <row r="271" spans="1:52" ht="15" customHeight="1" x14ac:dyDescent="0.25">
      <c r="A271" s="15" t="s">
        <v>207</v>
      </c>
      <c r="B271" s="145" t="s">
        <v>199</v>
      </c>
      <c r="C271" s="15">
        <v>26422</v>
      </c>
      <c r="D271" s="144" t="s">
        <v>37</v>
      </c>
      <c r="E271" s="144" t="s">
        <v>37</v>
      </c>
      <c r="F271" s="22">
        <f>F217</f>
        <v>57806.41</v>
      </c>
      <c r="G271" s="22">
        <v>0</v>
      </c>
      <c r="H271" s="22">
        <v>0</v>
      </c>
      <c r="I271" s="22"/>
      <c r="K271" s="32"/>
      <c r="L271" s="681"/>
      <c r="M271" s="33"/>
      <c r="AW271" s="132"/>
      <c r="AX271" s="132"/>
      <c r="AY271" s="132"/>
      <c r="AZ271" s="132"/>
    </row>
    <row r="272" spans="1:52" ht="30" customHeight="1" x14ac:dyDescent="0.25">
      <c r="A272" s="15" t="s">
        <v>208</v>
      </c>
      <c r="B272" s="145" t="s">
        <v>989</v>
      </c>
      <c r="C272" s="15">
        <v>26430</v>
      </c>
      <c r="D272" s="144" t="s">
        <v>37</v>
      </c>
      <c r="E272" s="144" t="s">
        <v>37</v>
      </c>
      <c r="F272" s="22"/>
      <c r="G272" s="22"/>
      <c r="H272" s="22"/>
      <c r="I272" s="22"/>
      <c r="K272" s="32">
        <v>6</v>
      </c>
      <c r="L272" s="681"/>
      <c r="M272" s="33"/>
      <c r="AW272" s="132"/>
      <c r="AX272" s="132"/>
      <c r="AY272" s="132"/>
      <c r="AZ272" s="132"/>
    </row>
    <row r="273" spans="1:52" x14ac:dyDescent="0.25">
      <c r="A273" s="144"/>
      <c r="B273" s="145" t="s">
        <v>409</v>
      </c>
      <c r="C273" s="144" t="s">
        <v>410</v>
      </c>
      <c r="D273" s="144" t="s">
        <v>37</v>
      </c>
      <c r="E273" s="144"/>
      <c r="F273" s="22"/>
      <c r="G273" s="22"/>
      <c r="H273" s="22"/>
      <c r="I273" s="22"/>
      <c r="K273" s="32"/>
      <c r="L273" s="681"/>
      <c r="M273" s="33"/>
      <c r="AW273" s="132"/>
      <c r="AX273" s="132"/>
      <c r="AY273" s="132"/>
      <c r="AZ273" s="132"/>
    </row>
    <row r="274" spans="1:52" ht="15" customHeight="1" x14ac:dyDescent="0.25">
      <c r="A274" s="15" t="s">
        <v>210</v>
      </c>
      <c r="B274" s="145" t="s">
        <v>211</v>
      </c>
      <c r="C274" s="15">
        <v>26450</v>
      </c>
      <c r="D274" s="144" t="s">
        <v>37</v>
      </c>
      <c r="E274" s="144" t="s">
        <v>37</v>
      </c>
      <c r="F274" s="22">
        <f>SUM(F276:F277)</f>
        <v>1037760.14</v>
      </c>
      <c r="G274" s="22">
        <f>SUM(G276:G277)</f>
        <v>848422.76</v>
      </c>
      <c r="H274" s="22">
        <f>SUM(H276:H277)</f>
        <v>854603</v>
      </c>
      <c r="I274" s="22">
        <f>SUM(I275:I277)</f>
        <v>0</v>
      </c>
      <c r="K274" s="32">
        <v>2</v>
      </c>
      <c r="L274" s="681"/>
      <c r="M274" s="33"/>
      <c r="AW274" s="132"/>
      <c r="AX274" s="132"/>
      <c r="AY274" s="132"/>
      <c r="AZ274" s="132"/>
    </row>
    <row r="275" spans="1:52" ht="30.75" customHeight="1" x14ac:dyDescent="0.25">
      <c r="A275" s="15" t="s">
        <v>212</v>
      </c>
      <c r="B275" s="145" t="s">
        <v>198</v>
      </c>
      <c r="C275" s="15">
        <v>26451</v>
      </c>
      <c r="D275" s="144" t="s">
        <v>37</v>
      </c>
      <c r="E275" s="144" t="s">
        <v>37</v>
      </c>
      <c r="F275" s="41"/>
      <c r="G275" s="41"/>
      <c r="H275" s="41"/>
      <c r="I275" s="22"/>
      <c r="K275" s="32"/>
      <c r="L275" s="681"/>
      <c r="M275" s="33"/>
      <c r="AW275" s="132"/>
      <c r="AX275" s="132"/>
      <c r="AY275" s="132"/>
      <c r="AZ275" s="132"/>
    </row>
    <row r="276" spans="1:52" x14ac:dyDescent="0.25">
      <c r="A276" s="144"/>
      <c r="B276" s="145" t="s">
        <v>404</v>
      </c>
      <c r="C276" s="144" t="s">
        <v>411</v>
      </c>
      <c r="D276" s="144" t="s">
        <v>37</v>
      </c>
      <c r="E276" s="144"/>
      <c r="F276" s="22"/>
      <c r="G276" s="22"/>
      <c r="H276" s="22"/>
      <c r="I276" s="22"/>
      <c r="K276" s="32"/>
      <c r="L276" s="681"/>
      <c r="M276" s="33"/>
      <c r="AW276" s="132"/>
      <c r="AX276" s="132"/>
      <c r="AY276" s="132"/>
      <c r="AZ276" s="132"/>
    </row>
    <row r="277" spans="1:52" ht="15" customHeight="1" x14ac:dyDescent="0.25">
      <c r="A277" s="15" t="s">
        <v>213</v>
      </c>
      <c r="B277" s="145" t="s">
        <v>199</v>
      </c>
      <c r="C277" s="15">
        <v>26452</v>
      </c>
      <c r="D277" s="144" t="s">
        <v>37</v>
      </c>
      <c r="E277" s="144" t="s">
        <v>37</v>
      </c>
      <c r="F277" s="22">
        <f>F213+F224-'таблица к разделу 2'!H14-'таблица к разделу 2'!H15</f>
        <v>1037760.14</v>
      </c>
      <c r="G277" s="22">
        <f>G213+G224-'таблица к разделу 2'!H31-'таблица к разделу 2'!H32</f>
        <v>848422.76</v>
      </c>
      <c r="H277" s="22">
        <f>H213+H224-'таблица к разделу 2'!H49</f>
        <v>854603</v>
      </c>
      <c r="I277" s="22"/>
      <c r="K277" s="32"/>
      <c r="L277" s="681"/>
      <c r="M277" s="33"/>
      <c r="AW277" s="132"/>
      <c r="AX277" s="132"/>
      <c r="AY277" s="132"/>
      <c r="AZ277" s="132"/>
    </row>
    <row r="278" spans="1:52" ht="55.2" x14ac:dyDescent="0.25">
      <c r="A278" s="15" t="s">
        <v>214</v>
      </c>
      <c r="B278" s="145" t="s">
        <v>990</v>
      </c>
      <c r="C278" s="15">
        <v>26500</v>
      </c>
      <c r="D278" s="144" t="s">
        <v>37</v>
      </c>
      <c r="E278" s="144" t="s">
        <v>37</v>
      </c>
      <c r="F278" s="22"/>
      <c r="G278" s="22"/>
      <c r="H278" s="22"/>
      <c r="I278" s="22">
        <f>I266+I269+I272+I275</f>
        <v>0</v>
      </c>
      <c r="K278" s="32" t="s">
        <v>38</v>
      </c>
      <c r="L278" s="681"/>
      <c r="M278" s="33" t="s">
        <v>215</v>
      </c>
      <c r="AW278" s="132"/>
      <c r="AX278" s="132"/>
      <c r="AY278" s="132"/>
      <c r="AZ278" s="132"/>
    </row>
    <row r="279" spans="1:52" ht="30" customHeight="1" x14ac:dyDescent="0.25">
      <c r="A279" s="41"/>
      <c r="B279" s="145" t="s">
        <v>216</v>
      </c>
      <c r="C279" s="15">
        <v>26510</v>
      </c>
      <c r="D279" s="144">
        <f>R1</f>
        <v>2024</v>
      </c>
      <c r="E279" s="144" t="s">
        <v>37</v>
      </c>
      <c r="F279" s="22"/>
      <c r="G279" s="22"/>
      <c r="H279" s="22"/>
      <c r="I279" s="22"/>
      <c r="K279" s="32"/>
      <c r="L279" s="681"/>
      <c r="M279" s="33"/>
      <c r="AW279" s="132"/>
      <c r="AX279" s="132"/>
      <c r="AY279" s="132"/>
      <c r="AZ279" s="132"/>
    </row>
    <row r="280" spans="1:52" x14ac:dyDescent="0.25">
      <c r="A280" s="41"/>
      <c r="B280" s="145" t="s">
        <v>217</v>
      </c>
      <c r="C280" s="15">
        <v>26520</v>
      </c>
      <c r="D280" s="677">
        <f>R2</f>
        <v>2025</v>
      </c>
      <c r="E280" s="144" t="s">
        <v>37</v>
      </c>
      <c r="F280" s="22"/>
      <c r="G280" s="22"/>
      <c r="H280" s="22"/>
      <c r="I280" s="22"/>
      <c r="K280" s="32"/>
      <c r="L280" s="681"/>
      <c r="M280" s="33"/>
      <c r="AW280" s="132"/>
      <c r="AX280" s="132"/>
      <c r="AY280" s="132"/>
      <c r="AZ280" s="132"/>
    </row>
    <row r="281" spans="1:52" x14ac:dyDescent="0.25">
      <c r="A281" s="41"/>
      <c r="B281" s="145" t="s">
        <v>218</v>
      </c>
      <c r="C281" s="15">
        <v>26530</v>
      </c>
      <c r="D281" s="677">
        <f>R3</f>
        <v>2026</v>
      </c>
      <c r="E281" s="144" t="s">
        <v>37</v>
      </c>
      <c r="F281" s="22"/>
      <c r="G281" s="22"/>
      <c r="H281" s="22"/>
      <c r="I281" s="22"/>
      <c r="K281" s="32"/>
      <c r="L281" s="681"/>
      <c r="M281" s="33"/>
      <c r="AW281" s="132"/>
      <c r="AX281" s="132"/>
      <c r="AY281" s="132"/>
      <c r="AZ281" s="132"/>
    </row>
    <row r="282" spans="1:52" ht="55.2" x14ac:dyDescent="0.25">
      <c r="A282" s="15" t="s">
        <v>219</v>
      </c>
      <c r="B282" s="145" t="s">
        <v>991</v>
      </c>
      <c r="C282" s="15">
        <v>26600</v>
      </c>
      <c r="D282" s="144" t="s">
        <v>37</v>
      </c>
      <c r="E282" s="144" t="s">
        <v>37</v>
      </c>
      <c r="F282" s="22">
        <f>F267+F271+F277</f>
        <v>3053601.12</v>
      </c>
      <c r="G282" s="22">
        <f t="shared" ref="G282:H282" si="2">G267+G271+G277</f>
        <v>1991413.15</v>
      </c>
      <c r="H282" s="22">
        <f t="shared" si="2"/>
        <v>2085785.46</v>
      </c>
      <c r="I282" s="22">
        <f>I267+I271+I277</f>
        <v>0</v>
      </c>
      <c r="K282" s="32" t="s">
        <v>75</v>
      </c>
      <c r="L282" s="681"/>
      <c r="M282" s="33" t="s">
        <v>215</v>
      </c>
      <c r="AW282" s="132"/>
      <c r="AX282" s="132"/>
      <c r="AY282" s="132"/>
      <c r="AZ282" s="132"/>
    </row>
    <row r="283" spans="1:52" ht="30" customHeight="1" x14ac:dyDescent="0.25">
      <c r="A283" s="41"/>
      <c r="B283" s="145" t="s">
        <v>216</v>
      </c>
      <c r="C283" s="15">
        <v>26610</v>
      </c>
      <c r="D283" s="586">
        <f>R1</f>
        <v>2024</v>
      </c>
      <c r="E283" s="144" t="s">
        <v>37</v>
      </c>
      <c r="F283" s="22">
        <f>F282</f>
        <v>3053601.12</v>
      </c>
      <c r="G283" s="22"/>
      <c r="H283" s="22"/>
      <c r="I283" s="22"/>
      <c r="K283" s="32"/>
      <c r="L283" s="681"/>
      <c r="AW283" s="132"/>
      <c r="AX283" s="132"/>
      <c r="AY283" s="132"/>
      <c r="AZ283" s="132"/>
    </row>
    <row r="284" spans="1:52" x14ac:dyDescent="0.25">
      <c r="A284" s="41"/>
      <c r="B284" s="145" t="s">
        <v>217</v>
      </c>
      <c r="C284" s="15">
        <v>26620</v>
      </c>
      <c r="D284" s="677">
        <f>R2</f>
        <v>2025</v>
      </c>
      <c r="E284" s="144" t="s">
        <v>37</v>
      </c>
      <c r="F284" s="22"/>
      <c r="G284" s="22">
        <f>G282-G283</f>
        <v>1991413.15</v>
      </c>
      <c r="H284" s="22"/>
      <c r="I284" s="22"/>
      <c r="K284" s="32"/>
      <c r="L284" s="681"/>
      <c r="AW284" s="132"/>
      <c r="AX284" s="132"/>
      <c r="AY284" s="132"/>
      <c r="AZ284" s="132"/>
    </row>
    <row r="285" spans="1:52" x14ac:dyDescent="0.25">
      <c r="A285" s="41"/>
      <c r="B285" s="145" t="s">
        <v>218</v>
      </c>
      <c r="C285" s="15">
        <v>26630</v>
      </c>
      <c r="D285" s="677">
        <f>R3</f>
        <v>2026</v>
      </c>
      <c r="E285" s="144" t="s">
        <v>37</v>
      </c>
      <c r="F285" s="22"/>
      <c r="G285" s="22"/>
      <c r="H285" s="22">
        <f>H282-H284-I285-H283</f>
        <v>2085785.46</v>
      </c>
      <c r="I285" s="22"/>
      <c r="K285" s="32"/>
      <c r="L285" s="681"/>
      <c r="AW285" s="132"/>
      <c r="AX285" s="132"/>
      <c r="AY285" s="132"/>
      <c r="AZ285" s="132"/>
    </row>
    <row r="286" spans="1:52" x14ac:dyDescent="0.25">
      <c r="K286" s="32"/>
      <c r="L286" s="681"/>
    </row>
    <row r="287" spans="1:52" x14ac:dyDescent="0.25">
      <c r="K287" s="32"/>
      <c r="L287" s="681"/>
    </row>
    <row r="288" spans="1:52" s="1" customFormat="1" x14ac:dyDescent="0.25">
      <c r="B288" s="6" t="s">
        <v>221</v>
      </c>
      <c r="C288" s="897" t="s">
        <v>1182</v>
      </c>
      <c r="D288" s="897"/>
      <c r="E288" s="42"/>
      <c r="F288" s="561" t="s">
        <v>1283</v>
      </c>
      <c r="G288" s="561"/>
      <c r="J288" s="137"/>
      <c r="K288" s="32"/>
      <c r="L288" s="681"/>
      <c r="M288" s="4"/>
    </row>
    <row r="289" spans="2:50" s="1" customFormat="1" x14ac:dyDescent="0.25">
      <c r="B289" s="6"/>
      <c r="C289" s="874" t="s">
        <v>222</v>
      </c>
      <c r="D289" s="874"/>
      <c r="E289" s="7" t="s">
        <v>223</v>
      </c>
      <c r="F289" s="135" t="s">
        <v>398</v>
      </c>
      <c r="G289" s="560"/>
      <c r="J289" s="137"/>
      <c r="K289" s="32"/>
      <c r="L289" s="681"/>
      <c r="M289" s="4"/>
    </row>
    <row r="290" spans="2:50" x14ac:dyDescent="0.25">
      <c r="K290" s="32"/>
      <c r="L290" s="681"/>
    </row>
    <row r="291" spans="2:50" s="1" customFormat="1" x14ac:dyDescent="0.25">
      <c r="B291" s="6" t="s">
        <v>225</v>
      </c>
      <c r="C291" s="897" t="s">
        <v>1183</v>
      </c>
      <c r="D291" s="897"/>
      <c r="E291" s="897" t="s">
        <v>1293</v>
      </c>
      <c r="F291" s="897"/>
      <c r="G291" s="561" t="s">
        <v>1296</v>
      </c>
      <c r="J291" s="137" t="s">
        <v>1284</v>
      </c>
      <c r="K291" s="32"/>
      <c r="L291" s="681"/>
      <c r="M291" s="4"/>
    </row>
    <row r="292" spans="2:50" s="1" customFormat="1" x14ac:dyDescent="0.25">
      <c r="B292" s="6"/>
      <c r="C292" s="874" t="s">
        <v>226</v>
      </c>
      <c r="D292" s="874"/>
      <c r="E292" s="874" t="s">
        <v>227</v>
      </c>
      <c r="F292" s="874"/>
      <c r="G292" s="564" t="s">
        <v>228</v>
      </c>
      <c r="J292" s="137"/>
      <c r="K292" s="32"/>
      <c r="L292" s="681"/>
      <c r="M292" s="4"/>
    </row>
    <row r="293" spans="2:50" x14ac:dyDescent="0.25">
      <c r="K293" s="32"/>
      <c r="L293" s="681"/>
    </row>
    <row r="294" spans="2:50" s="1" customFormat="1" x14ac:dyDescent="0.25">
      <c r="B294" s="2" t="str">
        <f>C33</f>
        <v>« 24 » октября 2024 г.</v>
      </c>
      <c r="J294" s="137"/>
      <c r="K294" s="32"/>
      <c r="L294" s="681"/>
      <c r="M294" s="4"/>
    </row>
    <row r="295" spans="2:50" x14ac:dyDescent="0.25">
      <c r="K295" s="32"/>
      <c r="L295" s="681"/>
    </row>
    <row r="297" spans="2:50" x14ac:dyDescent="0.25">
      <c r="B297" s="2" t="s">
        <v>229</v>
      </c>
      <c r="D297" s="1" t="s">
        <v>230</v>
      </c>
      <c r="F297" s="43">
        <f>F255-F258-F264-F257</f>
        <v>0</v>
      </c>
      <c r="G297" s="43">
        <f>G255-G258-G264-G257</f>
        <v>0</v>
      </c>
      <c r="H297" s="43">
        <f>H255-H258-H264-H257</f>
        <v>0</v>
      </c>
      <c r="I297" s="43">
        <f>I255-I258-I264</f>
        <v>0</v>
      </c>
    </row>
    <row r="298" spans="2:50" x14ac:dyDescent="0.25">
      <c r="D298" s="44">
        <v>26500</v>
      </c>
      <c r="F298" s="43">
        <f>F278-F279-F280-F281</f>
        <v>0</v>
      </c>
      <c r="G298" s="43">
        <f>G278-G279-G280-G281</f>
        <v>0</v>
      </c>
      <c r="H298" s="43">
        <f>H278-H279-H280-H281</f>
        <v>0</v>
      </c>
      <c r="I298" s="43">
        <f>I278-I279-I280-I281</f>
        <v>0</v>
      </c>
    </row>
    <row r="299" spans="2:50" x14ac:dyDescent="0.25">
      <c r="D299" s="44">
        <v>26600</v>
      </c>
      <c r="F299" s="43">
        <f>F282-F283-F284-F285</f>
        <v>0</v>
      </c>
      <c r="G299" s="43">
        <f>G282-G283-G284-G285</f>
        <v>0</v>
      </c>
      <c r="H299" s="43">
        <f>H282-H283-H284-H285</f>
        <v>0</v>
      </c>
      <c r="I299" s="43">
        <f>I282-I283-I284-I285</f>
        <v>0</v>
      </c>
    </row>
    <row r="300" spans="2:50" x14ac:dyDescent="0.25">
      <c r="D300" s="112">
        <v>26000</v>
      </c>
      <c r="E300" s="113"/>
      <c r="F300" s="114">
        <f>F255-F256-F257-F258-F264</f>
        <v>0</v>
      </c>
      <c r="G300" s="114">
        <f>G255-G256-G257-G258-G264</f>
        <v>0</v>
      </c>
      <c r="H300" s="114">
        <f>H255-H256-H257-H258-H264</f>
        <v>0</v>
      </c>
      <c r="I300" s="114">
        <f>I255-I256-I257-I258-I264</f>
        <v>0</v>
      </c>
    </row>
    <row r="302" spans="2:50" x14ac:dyDescent="0.25">
      <c r="F302" s="8"/>
      <c r="G302" s="8"/>
      <c r="H302" s="8"/>
      <c r="I302" s="8"/>
      <c r="J302" s="632"/>
      <c r="K302" s="633"/>
      <c r="L302" s="682"/>
      <c r="M302" s="634"/>
      <c r="N302" s="635"/>
      <c r="O302" s="635"/>
      <c r="P302" s="635"/>
      <c r="Q302" s="635"/>
      <c r="R302" s="635"/>
      <c r="S302" s="635"/>
      <c r="T302" s="635"/>
      <c r="U302" s="635"/>
      <c r="V302" s="635"/>
      <c r="W302" s="635"/>
      <c r="X302" s="635"/>
      <c r="Y302" s="635"/>
      <c r="Z302" s="635"/>
      <c r="AA302" s="635"/>
      <c r="AB302" s="635"/>
      <c r="AC302" s="635"/>
      <c r="AD302" s="635"/>
      <c r="AE302" s="635"/>
      <c r="AF302" s="635"/>
      <c r="AG302" s="635"/>
      <c r="AH302" s="635"/>
      <c r="AI302" s="635"/>
      <c r="AJ302" s="635"/>
      <c r="AK302" s="635"/>
      <c r="AL302" s="635"/>
      <c r="AM302" s="635"/>
      <c r="AN302" s="635"/>
      <c r="AO302" s="635"/>
      <c r="AP302" s="635"/>
      <c r="AQ302" s="635"/>
      <c r="AR302" s="635"/>
      <c r="AS302" s="635"/>
      <c r="AT302" s="635"/>
      <c r="AU302" s="635"/>
      <c r="AV302" s="635"/>
      <c r="AW302" s="635"/>
      <c r="AX302" s="635"/>
    </row>
    <row r="303" spans="2:50" x14ac:dyDescent="0.25">
      <c r="B303" s="124"/>
      <c r="C303" s="124"/>
      <c r="D303" s="124"/>
      <c r="E303" s="124"/>
      <c r="F303" s="128"/>
      <c r="G303" s="128"/>
      <c r="H303" s="128"/>
      <c r="I303" s="128"/>
      <c r="J303" s="636"/>
      <c r="K303" s="128"/>
      <c r="L303" s="636"/>
      <c r="M303" s="128"/>
      <c r="N303" s="125"/>
      <c r="O303" s="125"/>
      <c r="P303" s="125"/>
      <c r="Q303" s="125"/>
      <c r="R303" s="125"/>
      <c r="S303" s="125"/>
      <c r="T303" s="125"/>
      <c r="U303" s="125"/>
      <c r="V303" s="125"/>
      <c r="W303" s="125"/>
      <c r="X303" s="125"/>
      <c r="Y303" s="125"/>
      <c r="Z303" s="125"/>
      <c r="AA303" s="125"/>
      <c r="AB303" s="125"/>
      <c r="AC303" s="125"/>
      <c r="AD303" s="125"/>
      <c r="AE303" s="125"/>
      <c r="AF303" s="125"/>
      <c r="AG303" s="125"/>
      <c r="AH303" s="125"/>
      <c r="AI303" s="125"/>
      <c r="AJ303" s="125"/>
      <c r="AK303" s="125"/>
      <c r="AL303" s="125"/>
      <c r="AM303" s="125"/>
      <c r="AN303" s="125"/>
      <c r="AO303" s="125"/>
      <c r="AP303" s="125"/>
      <c r="AQ303" s="886"/>
      <c r="AR303" s="886"/>
      <c r="AS303" s="886"/>
      <c r="AT303" s="886"/>
      <c r="AU303" s="886"/>
      <c r="AV303" s="886"/>
      <c r="AW303" s="635"/>
      <c r="AX303" s="635"/>
    </row>
    <row r="304" spans="2:50" x14ac:dyDescent="0.25">
      <c r="F304" s="129"/>
      <c r="G304" s="129"/>
      <c r="H304" s="129"/>
      <c r="I304" s="129"/>
      <c r="J304" s="142"/>
      <c r="K304" s="129"/>
      <c r="L304" s="142"/>
      <c r="M304" s="129"/>
      <c r="N304" s="129"/>
      <c r="O304" s="129"/>
      <c r="P304" s="129"/>
      <c r="Q304" s="129"/>
      <c r="R304" s="129"/>
      <c r="S304" s="129"/>
      <c r="T304" s="129"/>
      <c r="U304" s="129"/>
      <c r="V304" s="129"/>
      <c r="W304" s="129"/>
      <c r="X304" s="129"/>
      <c r="Y304" s="129"/>
      <c r="Z304" s="129"/>
      <c r="AA304" s="129"/>
      <c r="AB304" s="129"/>
      <c r="AC304" s="129"/>
      <c r="AD304" s="129"/>
      <c r="AE304" s="129"/>
      <c r="AF304" s="129"/>
      <c r="AG304" s="129"/>
      <c r="AH304" s="129"/>
      <c r="AI304" s="129"/>
      <c r="AJ304" s="129"/>
      <c r="AK304" s="129"/>
      <c r="AL304" s="129"/>
      <c r="AM304" s="129"/>
      <c r="AN304" s="129"/>
      <c r="AO304" s="129"/>
      <c r="AP304" s="129"/>
      <c r="AQ304" s="129"/>
      <c r="AR304" s="129"/>
      <c r="AS304" s="129"/>
      <c r="AT304" s="129"/>
      <c r="AU304" s="129"/>
      <c r="AV304" s="129"/>
      <c r="AW304" s="635"/>
      <c r="AX304" s="635"/>
    </row>
    <row r="305" spans="6:50" x14ac:dyDescent="0.25">
      <c r="F305" s="129"/>
      <c r="G305" s="129"/>
      <c r="H305" s="129"/>
      <c r="I305" s="129"/>
      <c r="J305" s="142"/>
      <c r="K305" s="129"/>
      <c r="L305" s="142"/>
      <c r="M305" s="129"/>
      <c r="N305" s="129"/>
      <c r="O305" s="129"/>
      <c r="P305" s="129"/>
      <c r="Q305" s="129"/>
      <c r="R305" s="129"/>
      <c r="S305" s="129"/>
      <c r="T305" s="129"/>
      <c r="U305" s="129"/>
      <c r="V305" s="129"/>
      <c r="W305" s="129"/>
      <c r="X305" s="129"/>
      <c r="Y305" s="129"/>
      <c r="Z305" s="129"/>
      <c r="AA305" s="129"/>
      <c r="AB305" s="129"/>
      <c r="AC305" s="129"/>
      <c r="AD305" s="129"/>
      <c r="AE305" s="129"/>
      <c r="AF305" s="129"/>
      <c r="AG305" s="129"/>
      <c r="AH305" s="129"/>
      <c r="AI305" s="129"/>
      <c r="AJ305" s="129"/>
      <c r="AK305" s="129"/>
      <c r="AL305" s="129"/>
      <c r="AM305" s="129"/>
      <c r="AN305" s="129"/>
      <c r="AO305" s="129"/>
      <c r="AP305" s="129"/>
      <c r="AQ305" s="129"/>
      <c r="AR305" s="129"/>
      <c r="AS305" s="129"/>
      <c r="AT305" s="129"/>
      <c r="AU305" s="129"/>
      <c r="AV305" s="129"/>
      <c r="AW305" s="635"/>
      <c r="AX305" s="635"/>
    </row>
    <row r="306" spans="6:50" x14ac:dyDescent="0.25">
      <c r="F306" s="637"/>
      <c r="G306" s="637"/>
      <c r="H306" s="637"/>
      <c r="I306" s="637"/>
      <c r="J306" s="638"/>
      <c r="K306" s="887"/>
      <c r="L306" s="887"/>
      <c r="M306" s="887"/>
      <c r="N306" s="887"/>
      <c r="O306" s="887"/>
      <c r="P306" s="887"/>
      <c r="Q306" s="888"/>
      <c r="R306" s="888"/>
      <c r="S306" s="888"/>
      <c r="T306" s="888"/>
      <c r="U306" s="888"/>
      <c r="V306" s="888"/>
      <c r="W306" s="888"/>
      <c r="X306" s="888"/>
      <c r="Y306" s="888"/>
      <c r="Z306" s="888"/>
      <c r="AA306" s="888"/>
      <c r="AB306" s="888"/>
      <c r="AC306" s="888"/>
      <c r="AD306" s="888"/>
      <c r="AE306" s="888"/>
      <c r="AF306" s="888"/>
      <c r="AG306" s="888"/>
      <c r="AH306" s="888"/>
      <c r="AI306" s="888"/>
      <c r="AJ306" s="888"/>
      <c r="AK306" s="888"/>
      <c r="AL306" s="888"/>
      <c r="AM306" s="888"/>
      <c r="AN306" s="888"/>
      <c r="AO306" s="888"/>
      <c r="AP306" s="888"/>
      <c r="AQ306" s="888"/>
      <c r="AR306" s="888"/>
      <c r="AS306" s="888"/>
      <c r="AT306" s="888"/>
      <c r="AU306" s="888"/>
      <c r="AV306" s="888"/>
      <c r="AW306" s="635"/>
      <c r="AX306" s="635"/>
    </row>
    <row r="307" spans="6:50" x14ac:dyDescent="0.25">
      <c r="F307" s="637"/>
      <c r="G307" s="637"/>
      <c r="H307" s="637"/>
      <c r="I307" s="637"/>
      <c r="J307" s="638"/>
      <c r="K307" s="887"/>
      <c r="L307" s="887"/>
      <c r="M307" s="887"/>
      <c r="N307" s="887"/>
      <c r="O307" s="887"/>
      <c r="P307" s="887"/>
      <c r="Q307" s="888"/>
      <c r="R307" s="888"/>
      <c r="S307" s="888"/>
      <c r="T307" s="888"/>
      <c r="U307" s="888"/>
      <c r="V307" s="888"/>
      <c r="W307" s="888"/>
      <c r="X307" s="888"/>
      <c r="Y307" s="888"/>
      <c r="Z307" s="888"/>
      <c r="AA307" s="888"/>
      <c r="AB307" s="888"/>
      <c r="AC307" s="888"/>
      <c r="AD307" s="888"/>
      <c r="AE307" s="888"/>
      <c r="AF307" s="888"/>
      <c r="AG307" s="888"/>
      <c r="AH307" s="888"/>
      <c r="AI307" s="888"/>
      <c r="AJ307" s="888"/>
      <c r="AK307" s="888"/>
      <c r="AL307" s="888"/>
      <c r="AM307" s="888"/>
      <c r="AN307" s="888"/>
      <c r="AO307" s="888"/>
      <c r="AP307" s="888"/>
      <c r="AQ307" s="888"/>
      <c r="AR307" s="888"/>
      <c r="AS307" s="888"/>
      <c r="AT307" s="888"/>
      <c r="AU307" s="888"/>
      <c r="AV307" s="888"/>
      <c r="AW307" s="635"/>
      <c r="AX307" s="635"/>
    </row>
    <row r="308" spans="6:50" x14ac:dyDescent="0.25">
      <c r="F308" s="637"/>
      <c r="G308" s="637"/>
      <c r="H308" s="637"/>
      <c r="I308" s="637"/>
      <c r="J308" s="638"/>
      <c r="K308" s="887"/>
      <c r="L308" s="887"/>
      <c r="M308" s="887"/>
      <c r="N308" s="887"/>
      <c r="O308" s="887"/>
      <c r="P308" s="887"/>
      <c r="Q308" s="888"/>
      <c r="R308" s="888"/>
      <c r="S308" s="888"/>
      <c r="T308" s="888"/>
      <c r="U308" s="888"/>
      <c r="V308" s="888"/>
      <c r="W308" s="888"/>
      <c r="X308" s="887"/>
      <c r="Y308" s="887"/>
      <c r="Z308" s="887"/>
      <c r="AA308" s="887"/>
      <c r="AB308" s="887"/>
      <c r="AC308" s="887"/>
      <c r="AD308" s="887"/>
      <c r="AE308" s="887"/>
      <c r="AF308" s="887"/>
      <c r="AG308" s="887"/>
      <c r="AH308" s="887"/>
      <c r="AI308" s="887"/>
      <c r="AJ308" s="887"/>
      <c r="AK308" s="887"/>
      <c r="AL308" s="887"/>
      <c r="AM308" s="887"/>
      <c r="AN308" s="887"/>
      <c r="AO308" s="887"/>
      <c r="AP308" s="887"/>
      <c r="AQ308" s="887"/>
      <c r="AR308" s="887"/>
      <c r="AS308" s="887"/>
      <c r="AT308" s="887"/>
      <c r="AU308" s="887"/>
      <c r="AV308" s="887"/>
      <c r="AW308" s="635"/>
      <c r="AX308" s="635"/>
    </row>
    <row r="309" spans="6:50" x14ac:dyDescent="0.25">
      <c r="F309" s="637"/>
      <c r="G309" s="637"/>
      <c r="H309" s="637"/>
      <c r="I309" s="637"/>
      <c r="J309" s="638"/>
      <c r="K309" s="887"/>
      <c r="L309" s="887"/>
      <c r="M309" s="887"/>
      <c r="N309" s="887"/>
      <c r="O309" s="887"/>
      <c r="P309" s="887"/>
      <c r="Q309" s="888"/>
      <c r="R309" s="888"/>
      <c r="S309" s="888"/>
      <c r="T309" s="888"/>
      <c r="U309" s="888"/>
      <c r="V309" s="888"/>
      <c r="W309" s="888"/>
      <c r="X309" s="887"/>
      <c r="Y309" s="887"/>
      <c r="Z309" s="887"/>
      <c r="AA309" s="887"/>
      <c r="AB309" s="887"/>
      <c r="AC309" s="887"/>
      <c r="AD309" s="887"/>
      <c r="AE309" s="887"/>
      <c r="AF309" s="887"/>
      <c r="AG309" s="887"/>
      <c r="AH309" s="887"/>
      <c r="AI309" s="887"/>
      <c r="AJ309" s="887"/>
      <c r="AK309" s="887"/>
      <c r="AL309" s="887"/>
      <c r="AM309" s="887"/>
      <c r="AN309" s="887"/>
      <c r="AO309" s="887"/>
      <c r="AP309" s="887"/>
      <c r="AQ309" s="887"/>
      <c r="AR309" s="887"/>
      <c r="AS309" s="887"/>
      <c r="AT309" s="887"/>
      <c r="AU309" s="887"/>
      <c r="AV309" s="887"/>
      <c r="AW309" s="635"/>
      <c r="AX309" s="635"/>
    </row>
    <row r="310" spans="6:50" x14ac:dyDescent="0.25">
      <c r="F310" s="639"/>
      <c r="G310" s="639"/>
      <c r="H310" s="639"/>
      <c r="I310" s="639"/>
      <c r="J310" s="640"/>
      <c r="K310" s="889"/>
      <c r="L310" s="889"/>
      <c r="M310" s="889"/>
      <c r="N310" s="889"/>
      <c r="O310" s="889"/>
      <c r="P310" s="889"/>
      <c r="Q310" s="889"/>
      <c r="R310" s="889"/>
      <c r="S310" s="889"/>
      <c r="T310" s="889"/>
      <c r="U310" s="889"/>
      <c r="V310" s="889"/>
      <c r="W310" s="889"/>
      <c r="X310" s="889"/>
      <c r="Y310" s="889"/>
      <c r="Z310" s="889"/>
      <c r="AA310" s="889"/>
      <c r="AB310" s="889"/>
      <c r="AC310" s="889"/>
      <c r="AD310" s="889"/>
      <c r="AE310" s="889"/>
      <c r="AF310" s="889"/>
      <c r="AG310" s="889"/>
      <c r="AH310" s="889"/>
      <c r="AI310" s="889"/>
      <c r="AJ310" s="889"/>
      <c r="AK310" s="889"/>
      <c r="AL310" s="889"/>
      <c r="AM310" s="889"/>
      <c r="AN310" s="889"/>
      <c r="AO310" s="889"/>
      <c r="AP310" s="889"/>
      <c r="AQ310" s="889"/>
      <c r="AR310" s="889"/>
      <c r="AS310" s="889"/>
      <c r="AT310" s="889"/>
      <c r="AU310" s="889"/>
      <c r="AV310" s="889"/>
      <c r="AW310" s="635"/>
      <c r="AX310" s="635"/>
    </row>
    <row r="311" spans="6:50" x14ac:dyDescent="0.25">
      <c r="F311" s="641"/>
      <c r="G311" s="641"/>
      <c r="H311" s="641"/>
      <c r="I311" s="641"/>
      <c r="J311" s="640"/>
      <c r="K311" s="641"/>
      <c r="L311" s="640"/>
      <c r="M311" s="641"/>
      <c r="N311" s="641"/>
      <c r="O311" s="641"/>
      <c r="P311" s="641"/>
      <c r="Q311" s="641"/>
      <c r="R311" s="641"/>
      <c r="S311" s="641"/>
      <c r="T311" s="641"/>
      <c r="U311" s="641"/>
      <c r="V311" s="641"/>
      <c r="W311" s="641"/>
      <c r="X311" s="641"/>
      <c r="Y311" s="641"/>
      <c r="Z311" s="641"/>
      <c r="AA311" s="641"/>
      <c r="AB311" s="641"/>
      <c r="AC311" s="641"/>
      <c r="AD311" s="641"/>
      <c r="AE311" s="641"/>
      <c r="AF311" s="641"/>
      <c r="AG311" s="641"/>
      <c r="AH311" s="641"/>
      <c r="AI311" s="641"/>
      <c r="AJ311" s="641"/>
      <c r="AK311" s="641"/>
      <c r="AL311" s="641"/>
      <c r="AM311" s="641"/>
      <c r="AN311" s="641"/>
      <c r="AO311" s="641"/>
      <c r="AP311" s="641"/>
      <c r="AQ311" s="641"/>
      <c r="AR311" s="641"/>
      <c r="AS311" s="641"/>
      <c r="AT311" s="641"/>
      <c r="AU311" s="641"/>
      <c r="AV311" s="641"/>
      <c r="AW311" s="635"/>
      <c r="AX311" s="635"/>
    </row>
    <row r="312" spans="6:50" x14ac:dyDescent="0.25">
      <c r="F312" s="642"/>
      <c r="G312" s="642"/>
      <c r="H312" s="642"/>
      <c r="I312" s="642"/>
      <c r="J312" s="643"/>
      <c r="K312" s="883"/>
      <c r="L312" s="883"/>
      <c r="M312" s="883"/>
      <c r="N312" s="885"/>
      <c r="O312" s="885"/>
      <c r="P312" s="885"/>
      <c r="Q312" s="877"/>
      <c r="R312" s="877"/>
      <c r="S312" s="877"/>
      <c r="T312" s="877"/>
      <c r="U312" s="877"/>
      <c r="V312" s="877"/>
      <c r="W312" s="877"/>
      <c r="X312" s="877"/>
      <c r="Y312" s="877"/>
      <c r="Z312" s="877"/>
      <c r="AA312" s="877"/>
      <c r="AB312" s="877"/>
      <c r="AC312" s="877"/>
      <c r="AD312" s="877"/>
      <c r="AE312" s="877"/>
      <c r="AF312" s="877"/>
      <c r="AG312" s="877"/>
      <c r="AH312" s="877"/>
      <c r="AI312" s="877"/>
      <c r="AJ312" s="877"/>
      <c r="AK312" s="877"/>
      <c r="AL312" s="877"/>
      <c r="AM312" s="877"/>
      <c r="AN312" s="877"/>
      <c r="AO312" s="877"/>
      <c r="AP312" s="877"/>
      <c r="AQ312" s="877"/>
      <c r="AR312" s="877"/>
      <c r="AS312" s="877"/>
      <c r="AT312" s="877"/>
      <c r="AU312" s="877"/>
      <c r="AV312" s="877"/>
      <c r="AW312" s="644"/>
      <c r="AX312" s="645"/>
    </row>
    <row r="313" spans="6:50" x14ac:dyDescent="0.25">
      <c r="F313" s="127"/>
      <c r="G313" s="127"/>
      <c r="H313" s="127"/>
      <c r="I313" s="127"/>
      <c r="J313" s="643"/>
      <c r="K313" s="883"/>
      <c r="L313" s="883"/>
      <c r="M313" s="883"/>
      <c r="N313" s="883"/>
      <c r="O313" s="883"/>
      <c r="P313" s="883"/>
      <c r="Q313" s="877"/>
      <c r="R313" s="877"/>
      <c r="S313" s="877"/>
      <c r="T313" s="877"/>
      <c r="U313" s="877"/>
      <c r="V313" s="877"/>
      <c r="W313" s="877"/>
      <c r="X313" s="877"/>
      <c r="Y313" s="877"/>
      <c r="Z313" s="877"/>
      <c r="AA313" s="877"/>
      <c r="AB313" s="877"/>
      <c r="AC313" s="877"/>
      <c r="AD313" s="877"/>
      <c r="AE313" s="877"/>
      <c r="AF313" s="877"/>
      <c r="AG313" s="877"/>
      <c r="AH313" s="877"/>
      <c r="AI313" s="877"/>
      <c r="AJ313" s="877"/>
      <c r="AK313" s="877"/>
      <c r="AL313" s="877"/>
      <c r="AM313" s="877"/>
      <c r="AN313" s="877"/>
      <c r="AO313" s="877"/>
      <c r="AP313" s="877"/>
      <c r="AQ313" s="877"/>
      <c r="AR313" s="877"/>
      <c r="AS313" s="877"/>
      <c r="AT313" s="877"/>
      <c r="AU313" s="877"/>
      <c r="AV313" s="877"/>
      <c r="AW313" s="635"/>
      <c r="AX313" s="635"/>
    </row>
    <row r="314" spans="6:50" x14ac:dyDescent="0.25">
      <c r="F314" s="127"/>
      <c r="G314" s="127"/>
      <c r="H314" s="127"/>
      <c r="I314" s="127"/>
      <c r="J314" s="643"/>
      <c r="K314" s="883"/>
      <c r="L314" s="883"/>
      <c r="M314" s="883"/>
      <c r="N314" s="883"/>
      <c r="O314" s="883"/>
      <c r="P314" s="883"/>
      <c r="Q314" s="877"/>
      <c r="R314" s="877"/>
      <c r="S314" s="877"/>
      <c r="T314" s="877"/>
      <c r="U314" s="877"/>
      <c r="V314" s="877"/>
      <c r="W314" s="877"/>
      <c r="X314" s="877"/>
      <c r="Y314" s="877"/>
      <c r="Z314" s="877"/>
      <c r="AA314" s="877"/>
      <c r="AB314" s="877"/>
      <c r="AC314" s="877"/>
      <c r="AD314" s="877"/>
      <c r="AE314" s="877"/>
      <c r="AF314" s="877"/>
      <c r="AG314" s="877"/>
      <c r="AH314" s="877"/>
      <c r="AI314" s="877"/>
      <c r="AJ314" s="877"/>
      <c r="AK314" s="877"/>
      <c r="AL314" s="877"/>
      <c r="AM314" s="877"/>
      <c r="AN314" s="877"/>
      <c r="AO314" s="877"/>
      <c r="AP314" s="877"/>
      <c r="AQ314" s="877"/>
      <c r="AR314" s="877"/>
      <c r="AS314" s="877"/>
      <c r="AT314" s="877"/>
      <c r="AU314" s="877"/>
      <c r="AV314" s="877"/>
      <c r="AW314" s="635"/>
      <c r="AX314" s="635"/>
    </row>
    <row r="315" spans="6:50" x14ac:dyDescent="0.25">
      <c r="F315" s="127"/>
      <c r="G315" s="127"/>
      <c r="H315" s="127"/>
      <c r="I315" s="127"/>
      <c r="J315" s="643"/>
      <c r="K315" s="883"/>
      <c r="L315" s="883"/>
      <c r="M315" s="883"/>
      <c r="N315" s="883"/>
      <c r="O315" s="883"/>
      <c r="P315" s="883"/>
      <c r="Q315" s="877"/>
      <c r="R315" s="877"/>
      <c r="S315" s="877"/>
      <c r="T315" s="877"/>
      <c r="U315" s="877"/>
      <c r="V315" s="877"/>
      <c r="W315" s="877"/>
      <c r="X315" s="877"/>
      <c r="Y315" s="877"/>
      <c r="Z315" s="877"/>
      <c r="AA315" s="877"/>
      <c r="AB315" s="877"/>
      <c r="AC315" s="877"/>
      <c r="AD315" s="877"/>
      <c r="AE315" s="877"/>
      <c r="AF315" s="877"/>
      <c r="AG315" s="877"/>
      <c r="AH315" s="877"/>
      <c r="AI315" s="877"/>
      <c r="AJ315" s="877"/>
      <c r="AK315" s="877"/>
      <c r="AL315" s="877"/>
      <c r="AM315" s="877"/>
      <c r="AN315" s="877"/>
      <c r="AO315" s="877"/>
      <c r="AP315" s="877"/>
      <c r="AQ315" s="877"/>
      <c r="AR315" s="877"/>
      <c r="AS315" s="877"/>
      <c r="AT315" s="877"/>
      <c r="AU315" s="877"/>
      <c r="AV315" s="877"/>
      <c r="AW315" s="635"/>
      <c r="AX315" s="635"/>
    </row>
    <row r="316" spans="6:50" ht="15.75" customHeight="1" x14ac:dyDescent="0.25">
      <c r="F316" s="127"/>
      <c r="G316" s="127"/>
      <c r="H316" s="127"/>
      <c r="I316" s="127"/>
      <c r="J316" s="643"/>
      <c r="K316" s="883"/>
      <c r="L316" s="883"/>
      <c r="M316" s="883"/>
      <c r="N316" s="883"/>
      <c r="O316" s="883"/>
      <c r="P316" s="883"/>
      <c r="Q316" s="877"/>
      <c r="R316" s="877"/>
      <c r="S316" s="877"/>
      <c r="T316" s="877"/>
      <c r="U316" s="877"/>
      <c r="V316" s="877"/>
      <c r="W316" s="877"/>
      <c r="X316" s="877"/>
      <c r="Y316" s="877"/>
      <c r="Z316" s="877"/>
      <c r="AA316" s="877"/>
      <c r="AB316" s="877"/>
      <c r="AC316" s="877"/>
      <c r="AD316" s="877"/>
      <c r="AE316" s="877"/>
      <c r="AF316" s="877"/>
      <c r="AG316" s="877"/>
      <c r="AH316" s="877"/>
      <c r="AI316" s="877"/>
      <c r="AJ316" s="877"/>
      <c r="AK316" s="877"/>
      <c r="AL316" s="877"/>
      <c r="AM316" s="877"/>
      <c r="AN316" s="877"/>
      <c r="AO316" s="877"/>
      <c r="AP316" s="877"/>
      <c r="AQ316" s="877"/>
      <c r="AR316" s="877"/>
      <c r="AS316" s="877"/>
      <c r="AT316" s="877"/>
      <c r="AU316" s="877"/>
      <c r="AV316" s="877"/>
      <c r="AW316" s="635"/>
      <c r="AX316" s="635"/>
    </row>
    <row r="317" spans="6:50" ht="15.75" customHeight="1" x14ac:dyDescent="0.25">
      <c r="F317" s="127"/>
      <c r="G317" s="127"/>
      <c r="H317" s="127"/>
      <c r="I317" s="127"/>
      <c r="J317" s="643"/>
      <c r="K317" s="883"/>
      <c r="L317" s="883"/>
      <c r="M317" s="883"/>
      <c r="N317" s="883"/>
      <c r="O317" s="883"/>
      <c r="P317" s="883"/>
      <c r="Q317" s="877"/>
      <c r="R317" s="877"/>
      <c r="S317" s="877"/>
      <c r="T317" s="877"/>
      <c r="U317" s="877"/>
      <c r="V317" s="877"/>
      <c r="W317" s="877"/>
      <c r="X317" s="877"/>
      <c r="Y317" s="877"/>
      <c r="Z317" s="877"/>
      <c r="AA317" s="877"/>
      <c r="AB317" s="877"/>
      <c r="AC317" s="877"/>
      <c r="AD317" s="877"/>
      <c r="AE317" s="877"/>
      <c r="AF317" s="877"/>
      <c r="AG317" s="877"/>
      <c r="AH317" s="877"/>
      <c r="AI317" s="877"/>
      <c r="AJ317" s="877"/>
      <c r="AK317" s="877"/>
      <c r="AL317" s="877"/>
      <c r="AM317" s="877"/>
      <c r="AN317" s="877"/>
      <c r="AO317" s="877"/>
      <c r="AP317" s="877"/>
      <c r="AQ317" s="877"/>
      <c r="AR317" s="877"/>
      <c r="AS317" s="877"/>
      <c r="AT317" s="877"/>
      <c r="AU317" s="877"/>
      <c r="AV317" s="877"/>
      <c r="AW317" s="635"/>
      <c r="AX317" s="635"/>
    </row>
    <row r="318" spans="6:50" x14ac:dyDescent="0.25">
      <c r="F318" s="127"/>
      <c r="G318" s="127"/>
      <c r="H318" s="127"/>
      <c r="I318" s="127"/>
      <c r="J318" s="643"/>
      <c r="K318" s="883"/>
      <c r="L318" s="883"/>
      <c r="M318" s="883"/>
      <c r="N318" s="883"/>
      <c r="O318" s="883"/>
      <c r="P318" s="883"/>
      <c r="Q318" s="877"/>
      <c r="R318" s="877"/>
      <c r="S318" s="877"/>
      <c r="T318" s="877"/>
      <c r="U318" s="877"/>
      <c r="V318" s="877"/>
      <c r="W318" s="877"/>
      <c r="X318" s="877"/>
      <c r="Y318" s="877"/>
      <c r="Z318" s="877"/>
      <c r="AA318" s="877"/>
      <c r="AB318" s="877"/>
      <c r="AC318" s="877"/>
      <c r="AD318" s="877"/>
      <c r="AE318" s="877"/>
      <c r="AF318" s="877"/>
      <c r="AG318" s="877"/>
      <c r="AH318" s="877"/>
      <c r="AI318" s="877"/>
      <c r="AJ318" s="877"/>
      <c r="AK318" s="877"/>
      <c r="AL318" s="877"/>
      <c r="AM318" s="877"/>
      <c r="AN318" s="877"/>
      <c r="AO318" s="877"/>
      <c r="AP318" s="877"/>
      <c r="AQ318" s="877"/>
      <c r="AR318" s="877"/>
      <c r="AS318" s="877"/>
      <c r="AT318" s="877"/>
      <c r="AU318" s="877"/>
      <c r="AV318" s="877"/>
      <c r="AW318" s="635"/>
      <c r="AX318" s="635"/>
    </row>
    <row r="319" spans="6:50" x14ac:dyDescent="0.25">
      <c r="F319" s="127"/>
      <c r="G319" s="127"/>
      <c r="H319" s="127"/>
      <c r="I319" s="127"/>
      <c r="J319" s="643"/>
      <c r="K319" s="883"/>
      <c r="L319" s="883"/>
      <c r="M319" s="883"/>
      <c r="N319" s="883"/>
      <c r="O319" s="883"/>
      <c r="P319" s="883"/>
      <c r="Q319" s="877"/>
      <c r="R319" s="877"/>
      <c r="S319" s="877"/>
      <c r="T319" s="877"/>
      <c r="U319" s="877"/>
      <c r="V319" s="877"/>
      <c r="W319" s="877"/>
      <c r="X319" s="877"/>
      <c r="Y319" s="877"/>
      <c r="Z319" s="877"/>
      <c r="AA319" s="877"/>
      <c r="AB319" s="877"/>
      <c r="AC319" s="877"/>
      <c r="AD319" s="877"/>
      <c r="AE319" s="877"/>
      <c r="AF319" s="877"/>
      <c r="AG319" s="877"/>
      <c r="AH319" s="877"/>
      <c r="AI319" s="877"/>
      <c r="AJ319" s="877"/>
      <c r="AK319" s="877"/>
      <c r="AL319" s="877"/>
      <c r="AM319" s="877"/>
      <c r="AN319" s="877"/>
      <c r="AO319" s="877"/>
      <c r="AP319" s="877"/>
      <c r="AQ319" s="877"/>
      <c r="AR319" s="877"/>
      <c r="AS319" s="877"/>
      <c r="AT319" s="877"/>
      <c r="AU319" s="877"/>
      <c r="AV319" s="877"/>
      <c r="AW319" s="635"/>
      <c r="AX319" s="635"/>
    </row>
    <row r="320" spans="6:50" x14ac:dyDescent="0.25">
      <c r="F320" s="127"/>
      <c r="G320" s="127"/>
      <c r="H320" s="127"/>
      <c r="I320" s="127"/>
      <c r="J320" s="643"/>
      <c r="K320" s="883"/>
      <c r="L320" s="883"/>
      <c r="M320" s="883"/>
      <c r="N320" s="884"/>
      <c r="O320" s="884"/>
      <c r="P320" s="884"/>
      <c r="Q320" s="877"/>
      <c r="R320" s="877"/>
      <c r="S320" s="877"/>
      <c r="T320" s="877"/>
      <c r="U320" s="877"/>
      <c r="V320" s="877"/>
      <c r="W320" s="877"/>
      <c r="X320" s="877"/>
      <c r="Y320" s="877"/>
      <c r="Z320" s="877"/>
      <c r="AA320" s="877"/>
      <c r="AB320" s="877"/>
      <c r="AC320" s="877"/>
      <c r="AD320" s="877"/>
      <c r="AE320" s="877"/>
      <c r="AF320" s="877"/>
      <c r="AG320" s="877"/>
      <c r="AH320" s="877"/>
      <c r="AI320" s="877"/>
      <c r="AJ320" s="877"/>
      <c r="AK320" s="877"/>
      <c r="AL320" s="877"/>
      <c r="AM320" s="877"/>
      <c r="AN320" s="877"/>
      <c r="AO320" s="877"/>
      <c r="AP320" s="877"/>
      <c r="AQ320" s="877"/>
      <c r="AR320" s="877"/>
      <c r="AS320" s="877"/>
      <c r="AT320" s="877"/>
      <c r="AU320" s="877"/>
      <c r="AV320" s="877"/>
      <c r="AW320" s="635"/>
      <c r="AX320" s="635"/>
    </row>
    <row r="321" spans="6:50" x14ac:dyDescent="0.25">
      <c r="F321" s="127"/>
      <c r="G321" s="127"/>
      <c r="H321" s="127"/>
      <c r="I321" s="127"/>
      <c r="J321" s="643"/>
      <c r="K321" s="883"/>
      <c r="L321" s="883"/>
      <c r="M321" s="883"/>
      <c r="N321" s="883"/>
      <c r="O321" s="883"/>
      <c r="P321" s="883"/>
      <c r="Q321" s="877"/>
      <c r="R321" s="877"/>
      <c r="S321" s="877"/>
      <c r="T321" s="877"/>
      <c r="U321" s="877"/>
      <c r="V321" s="877"/>
      <c r="W321" s="877"/>
      <c r="X321" s="877"/>
      <c r="Y321" s="877"/>
      <c r="Z321" s="877"/>
      <c r="AA321" s="877"/>
      <c r="AB321" s="877"/>
      <c r="AC321" s="877"/>
      <c r="AD321" s="877"/>
      <c r="AE321" s="877"/>
      <c r="AF321" s="877"/>
      <c r="AG321" s="877"/>
      <c r="AH321" s="877"/>
      <c r="AI321" s="877"/>
      <c r="AJ321" s="877"/>
      <c r="AK321" s="877"/>
      <c r="AL321" s="877"/>
      <c r="AM321" s="877"/>
      <c r="AN321" s="877"/>
      <c r="AO321" s="877"/>
      <c r="AP321" s="877"/>
      <c r="AQ321" s="877"/>
      <c r="AR321" s="877"/>
      <c r="AS321" s="877"/>
      <c r="AT321" s="877"/>
      <c r="AU321" s="877"/>
      <c r="AV321" s="877"/>
      <c r="AW321" s="635"/>
      <c r="AX321" s="635"/>
    </row>
    <row r="322" spans="6:50" x14ac:dyDescent="0.25">
      <c r="F322" s="127"/>
      <c r="G322" s="127"/>
      <c r="H322" s="127"/>
      <c r="I322" s="127"/>
      <c r="J322" s="643"/>
      <c r="K322" s="883"/>
      <c r="L322" s="883"/>
      <c r="M322" s="883"/>
      <c r="N322" s="883"/>
      <c r="O322" s="883"/>
      <c r="P322" s="883"/>
      <c r="Q322" s="877"/>
      <c r="R322" s="877"/>
      <c r="S322" s="877"/>
      <c r="T322" s="877"/>
      <c r="U322" s="877"/>
      <c r="V322" s="877"/>
      <c r="W322" s="877"/>
      <c r="X322" s="877"/>
      <c r="Y322" s="877"/>
      <c r="Z322" s="877"/>
      <c r="AA322" s="877"/>
      <c r="AB322" s="877"/>
      <c r="AC322" s="877"/>
      <c r="AD322" s="877"/>
      <c r="AE322" s="877"/>
      <c r="AF322" s="877"/>
      <c r="AG322" s="877"/>
      <c r="AH322" s="877"/>
      <c r="AI322" s="877"/>
      <c r="AJ322" s="877"/>
      <c r="AK322" s="877"/>
      <c r="AL322" s="877"/>
      <c r="AM322" s="877"/>
      <c r="AN322" s="877"/>
      <c r="AO322" s="877"/>
      <c r="AP322" s="877"/>
      <c r="AQ322" s="877"/>
      <c r="AR322" s="877"/>
      <c r="AS322" s="877"/>
      <c r="AT322" s="877"/>
      <c r="AU322" s="877"/>
      <c r="AV322" s="877"/>
      <c r="AW322" s="635"/>
      <c r="AX322" s="635"/>
    </row>
    <row r="323" spans="6:50" x14ac:dyDescent="0.25">
      <c r="F323" s="127"/>
      <c r="G323" s="127"/>
      <c r="H323" s="127"/>
      <c r="I323" s="127"/>
      <c r="J323" s="643"/>
      <c r="K323" s="883"/>
      <c r="L323" s="883"/>
      <c r="M323" s="883"/>
      <c r="N323" s="883"/>
      <c r="O323" s="883"/>
      <c r="P323" s="883"/>
      <c r="Q323" s="877"/>
      <c r="R323" s="877"/>
      <c r="S323" s="877"/>
      <c r="T323" s="877"/>
      <c r="U323" s="877"/>
      <c r="V323" s="877"/>
      <c r="W323" s="877"/>
      <c r="X323" s="877"/>
      <c r="Y323" s="877"/>
      <c r="Z323" s="877"/>
      <c r="AA323" s="877"/>
      <c r="AB323" s="877"/>
      <c r="AC323" s="877"/>
      <c r="AD323" s="877"/>
      <c r="AE323" s="877"/>
      <c r="AF323" s="877"/>
      <c r="AG323" s="877"/>
      <c r="AH323" s="877"/>
      <c r="AI323" s="877"/>
      <c r="AJ323" s="877"/>
      <c r="AK323" s="877"/>
      <c r="AL323" s="877"/>
      <c r="AM323" s="877"/>
      <c r="AN323" s="877"/>
      <c r="AO323" s="877"/>
      <c r="AP323" s="877"/>
      <c r="AQ323" s="877"/>
      <c r="AR323" s="877"/>
      <c r="AS323" s="877"/>
      <c r="AT323" s="877"/>
      <c r="AU323" s="877"/>
      <c r="AV323" s="877"/>
      <c r="AW323" s="635"/>
      <c r="AX323" s="635"/>
    </row>
    <row r="324" spans="6:50" x14ac:dyDescent="0.25">
      <c r="F324" s="642"/>
      <c r="G324" s="642"/>
      <c r="H324" s="642"/>
      <c r="I324" s="642"/>
      <c r="J324" s="643"/>
      <c r="K324" s="883"/>
      <c r="L324" s="883"/>
      <c r="M324" s="883"/>
      <c r="N324" s="884"/>
      <c r="O324" s="884"/>
      <c r="P324" s="884"/>
      <c r="Q324" s="877"/>
      <c r="R324" s="877"/>
      <c r="S324" s="877"/>
      <c r="T324" s="877"/>
      <c r="U324" s="877"/>
      <c r="V324" s="877"/>
      <c r="W324" s="877"/>
      <c r="X324" s="877"/>
      <c r="Y324" s="877"/>
      <c r="Z324" s="877"/>
      <c r="AA324" s="877"/>
      <c r="AB324" s="877"/>
      <c r="AC324" s="877"/>
      <c r="AD324" s="877"/>
      <c r="AE324" s="877"/>
      <c r="AF324" s="877"/>
      <c r="AG324" s="877"/>
      <c r="AH324" s="877"/>
      <c r="AI324" s="877"/>
      <c r="AJ324" s="877"/>
      <c r="AK324" s="877"/>
      <c r="AL324" s="877"/>
      <c r="AM324" s="877"/>
      <c r="AN324" s="877"/>
      <c r="AO324" s="877"/>
      <c r="AP324" s="877"/>
      <c r="AQ324" s="877"/>
      <c r="AR324" s="877"/>
      <c r="AS324" s="877"/>
      <c r="AT324" s="877"/>
      <c r="AU324" s="877"/>
      <c r="AV324" s="877"/>
      <c r="AW324" s="644"/>
      <c r="AX324" s="635"/>
    </row>
    <row r="325" spans="6:50" x14ac:dyDescent="0.25">
      <c r="F325" s="127"/>
      <c r="G325" s="127"/>
      <c r="H325" s="127"/>
      <c r="I325" s="127"/>
      <c r="J325" s="643"/>
      <c r="K325" s="883"/>
      <c r="L325" s="883"/>
      <c r="M325" s="883"/>
      <c r="N325" s="883"/>
      <c r="O325" s="883"/>
      <c r="P325" s="883"/>
      <c r="Q325" s="877"/>
      <c r="R325" s="877"/>
      <c r="S325" s="877"/>
      <c r="T325" s="877"/>
      <c r="U325" s="877"/>
      <c r="V325" s="877"/>
      <c r="W325" s="877"/>
      <c r="X325" s="877"/>
      <c r="Y325" s="877"/>
      <c r="Z325" s="877"/>
      <c r="AA325" s="877"/>
      <c r="AB325" s="877"/>
      <c r="AC325" s="877"/>
      <c r="AD325" s="877"/>
      <c r="AE325" s="877"/>
      <c r="AF325" s="877"/>
      <c r="AG325" s="877"/>
      <c r="AH325" s="877"/>
      <c r="AI325" s="877"/>
      <c r="AJ325" s="877"/>
      <c r="AK325" s="877"/>
      <c r="AL325" s="877"/>
      <c r="AM325" s="877"/>
      <c r="AN325" s="877"/>
      <c r="AO325" s="877"/>
      <c r="AP325" s="877"/>
      <c r="AQ325" s="877"/>
      <c r="AR325" s="877"/>
      <c r="AS325" s="877"/>
      <c r="AT325" s="877"/>
      <c r="AU325" s="877"/>
      <c r="AV325" s="877"/>
      <c r="AW325" s="635"/>
      <c r="AX325" s="635"/>
    </row>
    <row r="326" spans="6:50" x14ac:dyDescent="0.25">
      <c r="F326" s="127"/>
      <c r="G326" s="127"/>
      <c r="H326" s="127"/>
      <c r="I326" s="127"/>
      <c r="J326" s="643"/>
      <c r="K326" s="883"/>
      <c r="L326" s="883"/>
      <c r="M326" s="883"/>
      <c r="N326" s="883"/>
      <c r="O326" s="883"/>
      <c r="P326" s="883"/>
      <c r="Q326" s="877"/>
      <c r="R326" s="877"/>
      <c r="S326" s="877"/>
      <c r="T326" s="877"/>
      <c r="U326" s="877"/>
      <c r="V326" s="877"/>
      <c r="W326" s="877"/>
      <c r="X326" s="877"/>
      <c r="Y326" s="877"/>
      <c r="Z326" s="877"/>
      <c r="AA326" s="877"/>
      <c r="AB326" s="877"/>
      <c r="AC326" s="877"/>
      <c r="AD326" s="877"/>
      <c r="AE326" s="877"/>
      <c r="AF326" s="877"/>
      <c r="AG326" s="877"/>
      <c r="AH326" s="877"/>
      <c r="AI326" s="877"/>
      <c r="AJ326" s="877"/>
      <c r="AK326" s="877"/>
      <c r="AL326" s="877"/>
      <c r="AM326" s="877"/>
      <c r="AN326" s="877"/>
      <c r="AO326" s="877"/>
      <c r="AP326" s="877"/>
      <c r="AQ326" s="877"/>
      <c r="AR326" s="877"/>
      <c r="AS326" s="877"/>
      <c r="AT326" s="877"/>
      <c r="AU326" s="877"/>
      <c r="AV326" s="877"/>
      <c r="AW326" s="635"/>
      <c r="AX326" s="635"/>
    </row>
    <row r="327" spans="6:50" x14ac:dyDescent="0.25">
      <c r="F327" s="127"/>
      <c r="G327" s="127"/>
      <c r="H327" s="127"/>
      <c r="I327" s="127"/>
      <c r="J327" s="643"/>
      <c r="K327" s="883"/>
      <c r="L327" s="883"/>
      <c r="M327" s="883"/>
      <c r="N327" s="883"/>
      <c r="O327" s="883"/>
      <c r="P327" s="883"/>
      <c r="Q327" s="877"/>
      <c r="R327" s="877"/>
      <c r="S327" s="877"/>
      <c r="T327" s="877"/>
      <c r="U327" s="877"/>
      <c r="V327" s="877"/>
      <c r="W327" s="877"/>
      <c r="X327" s="877"/>
      <c r="Y327" s="877"/>
      <c r="Z327" s="877"/>
      <c r="AA327" s="877"/>
      <c r="AB327" s="877"/>
      <c r="AC327" s="877"/>
      <c r="AD327" s="877"/>
      <c r="AE327" s="877"/>
      <c r="AF327" s="877"/>
      <c r="AG327" s="877"/>
      <c r="AH327" s="877"/>
      <c r="AI327" s="877"/>
      <c r="AJ327" s="877"/>
      <c r="AK327" s="877"/>
      <c r="AL327" s="877"/>
      <c r="AM327" s="877"/>
      <c r="AN327" s="877"/>
      <c r="AO327" s="877"/>
      <c r="AP327" s="877"/>
      <c r="AQ327" s="877"/>
      <c r="AR327" s="877"/>
      <c r="AS327" s="877"/>
      <c r="AT327" s="877"/>
      <c r="AU327" s="877"/>
      <c r="AV327" s="877"/>
      <c r="AW327" s="635"/>
      <c r="AX327" s="635"/>
    </row>
    <row r="328" spans="6:50" ht="15.75" customHeight="1" x14ac:dyDescent="0.25">
      <c r="F328" s="127"/>
      <c r="G328" s="127"/>
      <c r="H328" s="127"/>
      <c r="I328" s="127"/>
      <c r="J328" s="643"/>
      <c r="K328" s="883"/>
      <c r="L328" s="883"/>
      <c r="M328" s="883"/>
      <c r="N328" s="883"/>
      <c r="O328" s="883"/>
      <c r="P328" s="883"/>
      <c r="Q328" s="877"/>
      <c r="R328" s="877"/>
      <c r="S328" s="877"/>
      <c r="T328" s="877"/>
      <c r="U328" s="877"/>
      <c r="V328" s="877"/>
      <c r="W328" s="877"/>
      <c r="X328" s="877"/>
      <c r="Y328" s="877"/>
      <c r="Z328" s="877"/>
      <c r="AA328" s="877"/>
      <c r="AB328" s="877"/>
      <c r="AC328" s="877"/>
      <c r="AD328" s="877"/>
      <c r="AE328" s="877"/>
      <c r="AF328" s="877"/>
      <c r="AG328" s="877"/>
      <c r="AH328" s="877"/>
      <c r="AI328" s="877"/>
      <c r="AJ328" s="877"/>
      <c r="AK328" s="877"/>
      <c r="AL328" s="877"/>
      <c r="AM328" s="877"/>
      <c r="AN328" s="877"/>
      <c r="AO328" s="877"/>
      <c r="AP328" s="877"/>
      <c r="AQ328" s="877"/>
      <c r="AR328" s="877"/>
      <c r="AS328" s="877"/>
      <c r="AT328" s="877"/>
      <c r="AU328" s="877"/>
      <c r="AV328" s="877"/>
      <c r="AW328" s="635"/>
      <c r="AX328" s="635"/>
    </row>
    <row r="329" spans="6:50" x14ac:dyDescent="0.25">
      <c r="F329" s="127"/>
      <c r="G329" s="127"/>
      <c r="H329" s="127"/>
      <c r="I329" s="127"/>
      <c r="J329" s="643"/>
      <c r="K329" s="884"/>
      <c r="L329" s="884"/>
      <c r="M329" s="884"/>
      <c r="N329" s="883"/>
      <c r="O329" s="883"/>
      <c r="P329" s="883"/>
      <c r="Q329" s="877"/>
      <c r="R329" s="877"/>
      <c r="S329" s="877"/>
      <c r="T329" s="877"/>
      <c r="U329" s="877"/>
      <c r="V329" s="877"/>
      <c r="W329" s="877"/>
      <c r="X329" s="878"/>
      <c r="Y329" s="878"/>
      <c r="Z329" s="878"/>
      <c r="AA329" s="878"/>
      <c r="AB329" s="878"/>
      <c r="AC329" s="877"/>
      <c r="AD329" s="877"/>
      <c r="AE329" s="877"/>
      <c r="AF329" s="877"/>
      <c r="AG329" s="877"/>
      <c r="AH329" s="877"/>
      <c r="AI329" s="877"/>
      <c r="AJ329" s="877"/>
      <c r="AK329" s="877"/>
      <c r="AL329" s="877"/>
      <c r="AM329" s="877"/>
      <c r="AN329" s="877"/>
      <c r="AO329" s="877"/>
      <c r="AP329" s="877"/>
      <c r="AQ329" s="877"/>
      <c r="AR329" s="877"/>
      <c r="AS329" s="877"/>
      <c r="AT329" s="877"/>
      <c r="AU329" s="877"/>
      <c r="AV329" s="877"/>
      <c r="AW329" s="635"/>
      <c r="AX329" s="635"/>
    </row>
    <row r="330" spans="6:50" x14ac:dyDescent="0.25">
      <c r="F330" s="127"/>
      <c r="G330" s="127"/>
      <c r="H330" s="127"/>
      <c r="I330" s="127"/>
      <c r="J330" s="643"/>
      <c r="K330" s="884"/>
      <c r="L330" s="884"/>
      <c r="M330" s="884"/>
      <c r="N330" s="883"/>
      <c r="O330" s="883"/>
      <c r="P330" s="883"/>
      <c r="Q330" s="877"/>
      <c r="R330" s="877"/>
      <c r="S330" s="877"/>
      <c r="T330" s="877"/>
      <c r="U330" s="877"/>
      <c r="V330" s="877"/>
      <c r="W330" s="877"/>
      <c r="X330" s="878"/>
      <c r="Y330" s="878"/>
      <c r="Z330" s="878"/>
      <c r="AA330" s="878"/>
      <c r="AB330" s="878"/>
      <c r="AC330" s="877"/>
      <c r="AD330" s="877"/>
      <c r="AE330" s="877"/>
      <c r="AF330" s="877"/>
      <c r="AG330" s="877"/>
      <c r="AH330" s="877"/>
      <c r="AI330" s="877"/>
      <c r="AJ330" s="877"/>
      <c r="AK330" s="877"/>
      <c r="AL330" s="877"/>
      <c r="AM330" s="877"/>
      <c r="AN330" s="877"/>
      <c r="AO330" s="877"/>
      <c r="AP330" s="877"/>
      <c r="AQ330" s="877"/>
      <c r="AR330" s="877"/>
      <c r="AS330" s="877"/>
      <c r="AT330" s="877"/>
      <c r="AU330" s="877"/>
      <c r="AV330" s="877"/>
      <c r="AW330" s="635"/>
      <c r="AX330" s="635"/>
    </row>
    <row r="331" spans="6:50" ht="15.75" customHeight="1" x14ac:dyDescent="0.25">
      <c r="F331" s="127"/>
      <c r="G331" s="127"/>
      <c r="H331" s="127"/>
      <c r="I331" s="127"/>
      <c r="J331" s="643"/>
      <c r="K331" s="884"/>
      <c r="L331" s="884"/>
      <c r="M331" s="884"/>
      <c r="N331" s="883"/>
      <c r="O331" s="883"/>
      <c r="P331" s="883"/>
      <c r="Q331" s="877"/>
      <c r="R331" s="877"/>
      <c r="S331" s="877"/>
      <c r="T331" s="877"/>
      <c r="U331" s="877"/>
      <c r="V331" s="877"/>
      <c r="W331" s="877"/>
      <c r="X331" s="877"/>
      <c r="Y331" s="877"/>
      <c r="Z331" s="877"/>
      <c r="AA331" s="877"/>
      <c r="AB331" s="877"/>
      <c r="AC331" s="877"/>
      <c r="AD331" s="877"/>
      <c r="AE331" s="877"/>
      <c r="AF331" s="877"/>
      <c r="AG331" s="877"/>
      <c r="AH331" s="877"/>
      <c r="AI331" s="877"/>
      <c r="AJ331" s="877"/>
      <c r="AK331" s="877"/>
      <c r="AL331" s="877"/>
      <c r="AM331" s="877"/>
      <c r="AN331" s="877"/>
      <c r="AO331" s="877"/>
      <c r="AP331" s="877"/>
      <c r="AQ331" s="877"/>
      <c r="AR331" s="877"/>
      <c r="AS331" s="877"/>
      <c r="AT331" s="877"/>
      <c r="AU331" s="877"/>
      <c r="AV331" s="877"/>
      <c r="AW331" s="635"/>
      <c r="AX331" s="635"/>
    </row>
    <row r="332" spans="6:50" ht="15.75" customHeight="1" x14ac:dyDescent="0.25">
      <c r="F332" s="127"/>
      <c r="G332" s="127"/>
      <c r="H332" s="127"/>
      <c r="I332" s="127"/>
      <c r="J332" s="643"/>
      <c r="K332" s="884"/>
      <c r="L332" s="884"/>
      <c r="M332" s="884"/>
      <c r="N332" s="883"/>
      <c r="O332" s="883"/>
      <c r="P332" s="883"/>
      <c r="Q332" s="877"/>
      <c r="R332" s="877"/>
      <c r="S332" s="877"/>
      <c r="T332" s="877"/>
      <c r="U332" s="877"/>
      <c r="V332" s="877"/>
      <c r="W332" s="877"/>
      <c r="X332" s="877"/>
      <c r="Y332" s="877"/>
      <c r="Z332" s="877"/>
      <c r="AA332" s="877"/>
      <c r="AB332" s="877"/>
      <c r="AC332" s="877"/>
      <c r="AD332" s="877"/>
      <c r="AE332" s="877"/>
      <c r="AF332" s="877"/>
      <c r="AG332" s="877"/>
      <c r="AH332" s="877"/>
      <c r="AI332" s="877"/>
      <c r="AJ332" s="877"/>
      <c r="AK332" s="877"/>
      <c r="AL332" s="877"/>
      <c r="AM332" s="877"/>
      <c r="AN332" s="877"/>
      <c r="AO332" s="877"/>
      <c r="AP332" s="877"/>
      <c r="AQ332" s="877"/>
      <c r="AR332" s="877"/>
      <c r="AS332" s="877"/>
      <c r="AT332" s="877"/>
      <c r="AU332" s="877"/>
      <c r="AV332" s="877"/>
      <c r="AW332" s="635"/>
      <c r="AX332" s="635"/>
    </row>
    <row r="333" spans="6:50" ht="15.75" customHeight="1" x14ac:dyDescent="0.25">
      <c r="F333" s="127"/>
      <c r="G333" s="127"/>
      <c r="H333" s="127"/>
      <c r="I333" s="127"/>
      <c r="J333" s="643"/>
      <c r="K333" s="884"/>
      <c r="L333" s="884"/>
      <c r="M333" s="884"/>
      <c r="N333" s="883"/>
      <c r="O333" s="883"/>
      <c r="P333" s="883"/>
      <c r="Q333" s="877"/>
      <c r="R333" s="877"/>
      <c r="S333" s="877"/>
      <c r="T333" s="877"/>
      <c r="U333" s="877"/>
      <c r="V333" s="877"/>
      <c r="W333" s="877"/>
      <c r="X333" s="877"/>
      <c r="Y333" s="877"/>
      <c r="Z333" s="877"/>
      <c r="AA333" s="877"/>
      <c r="AB333" s="877"/>
      <c r="AC333" s="877"/>
      <c r="AD333" s="877"/>
      <c r="AE333" s="877"/>
      <c r="AF333" s="877"/>
      <c r="AG333" s="877"/>
      <c r="AH333" s="877"/>
      <c r="AI333" s="877"/>
      <c r="AJ333" s="877"/>
      <c r="AK333" s="877"/>
      <c r="AL333" s="877"/>
      <c r="AM333" s="877"/>
      <c r="AN333" s="877"/>
      <c r="AO333" s="877"/>
      <c r="AP333" s="877"/>
      <c r="AQ333" s="877"/>
      <c r="AR333" s="877"/>
      <c r="AS333" s="877"/>
      <c r="AT333" s="877"/>
      <c r="AU333" s="877"/>
      <c r="AV333" s="877"/>
      <c r="AW333" s="635"/>
      <c r="AX333" s="635"/>
    </row>
    <row r="334" spans="6:50" x14ac:dyDescent="0.25">
      <c r="F334" s="127"/>
      <c r="G334" s="127"/>
      <c r="H334" s="127"/>
      <c r="I334" s="127"/>
      <c r="J334" s="643"/>
      <c r="K334" s="883"/>
      <c r="L334" s="883"/>
      <c r="M334" s="883"/>
      <c r="N334" s="883"/>
      <c r="O334" s="883"/>
      <c r="P334" s="883"/>
      <c r="Q334" s="877"/>
      <c r="R334" s="877"/>
      <c r="S334" s="877"/>
      <c r="T334" s="877"/>
      <c r="U334" s="877"/>
      <c r="V334" s="877"/>
      <c r="W334" s="877"/>
      <c r="X334" s="877"/>
      <c r="Y334" s="877"/>
      <c r="Z334" s="877"/>
      <c r="AA334" s="877"/>
      <c r="AB334" s="877"/>
      <c r="AC334" s="877"/>
      <c r="AD334" s="877"/>
      <c r="AE334" s="877"/>
      <c r="AF334" s="877"/>
      <c r="AG334" s="877"/>
      <c r="AH334" s="877"/>
      <c r="AI334" s="877"/>
      <c r="AJ334" s="877"/>
      <c r="AK334" s="877"/>
      <c r="AL334" s="877"/>
      <c r="AM334" s="877"/>
      <c r="AN334" s="877"/>
      <c r="AO334" s="877"/>
      <c r="AP334" s="877"/>
      <c r="AQ334" s="877"/>
      <c r="AR334" s="877"/>
      <c r="AS334" s="877"/>
      <c r="AT334" s="877"/>
      <c r="AU334" s="877"/>
      <c r="AV334" s="877"/>
      <c r="AW334" s="635"/>
      <c r="AX334" s="635"/>
    </row>
    <row r="335" spans="6:50" x14ac:dyDescent="0.25">
      <c r="F335" s="127"/>
      <c r="G335" s="127"/>
      <c r="H335" s="127"/>
      <c r="I335" s="127"/>
      <c r="J335" s="643"/>
      <c r="K335" s="883"/>
      <c r="L335" s="883"/>
      <c r="M335" s="883"/>
      <c r="N335" s="883"/>
      <c r="O335" s="883"/>
      <c r="P335" s="883"/>
      <c r="Q335" s="877"/>
      <c r="R335" s="877"/>
      <c r="S335" s="877"/>
      <c r="T335" s="877"/>
      <c r="U335" s="877"/>
      <c r="V335" s="877"/>
      <c r="W335" s="877"/>
      <c r="X335" s="878"/>
      <c r="Y335" s="878"/>
      <c r="Z335" s="878"/>
      <c r="AA335" s="878"/>
      <c r="AB335" s="878"/>
      <c r="AC335" s="877"/>
      <c r="AD335" s="877"/>
      <c r="AE335" s="877"/>
      <c r="AF335" s="877"/>
      <c r="AG335" s="877"/>
      <c r="AH335" s="877"/>
      <c r="AI335" s="877"/>
      <c r="AJ335" s="877"/>
      <c r="AK335" s="877"/>
      <c r="AL335" s="877"/>
      <c r="AM335" s="877"/>
      <c r="AN335" s="877"/>
      <c r="AO335" s="877"/>
      <c r="AP335" s="877"/>
      <c r="AQ335" s="877"/>
      <c r="AR335" s="877"/>
      <c r="AS335" s="877"/>
      <c r="AT335" s="877"/>
      <c r="AU335" s="877"/>
      <c r="AV335" s="877"/>
      <c r="AW335" s="635"/>
      <c r="AX335" s="635"/>
    </row>
    <row r="336" spans="6:50" ht="15.75" customHeight="1" x14ac:dyDescent="0.25">
      <c r="F336" s="127"/>
      <c r="G336" s="127"/>
      <c r="H336" s="127"/>
      <c r="I336" s="127"/>
      <c r="J336" s="643"/>
      <c r="K336" s="883"/>
      <c r="L336" s="883"/>
      <c r="M336" s="883"/>
      <c r="N336" s="883"/>
      <c r="O336" s="883"/>
      <c r="P336" s="883"/>
      <c r="Q336" s="877"/>
      <c r="R336" s="877"/>
      <c r="S336" s="877"/>
      <c r="T336" s="877"/>
      <c r="U336" s="877"/>
      <c r="V336" s="877"/>
      <c r="W336" s="877"/>
      <c r="X336" s="878"/>
      <c r="Y336" s="878"/>
      <c r="Z336" s="878"/>
      <c r="AA336" s="878"/>
      <c r="AB336" s="878"/>
      <c r="AC336" s="877"/>
      <c r="AD336" s="877"/>
      <c r="AE336" s="877"/>
      <c r="AF336" s="877"/>
      <c r="AG336" s="877"/>
      <c r="AH336" s="877"/>
      <c r="AI336" s="877"/>
      <c r="AJ336" s="877"/>
      <c r="AK336" s="877"/>
      <c r="AL336" s="877"/>
      <c r="AM336" s="877"/>
      <c r="AN336" s="877"/>
      <c r="AO336" s="877"/>
      <c r="AP336" s="877"/>
      <c r="AQ336" s="877"/>
      <c r="AR336" s="877"/>
      <c r="AS336" s="877"/>
      <c r="AT336" s="877"/>
      <c r="AU336" s="877"/>
      <c r="AV336" s="877"/>
      <c r="AW336" s="635"/>
      <c r="AX336" s="635"/>
    </row>
    <row r="337" spans="6:50" ht="15.75" customHeight="1" x14ac:dyDescent="0.25">
      <c r="F337" s="127"/>
      <c r="G337" s="127"/>
      <c r="H337" s="127"/>
      <c r="I337" s="127"/>
      <c r="J337" s="643"/>
      <c r="K337" s="883"/>
      <c r="L337" s="883"/>
      <c r="M337" s="883"/>
      <c r="N337" s="883"/>
      <c r="O337" s="883"/>
      <c r="P337" s="883"/>
      <c r="Q337" s="877"/>
      <c r="R337" s="877"/>
      <c r="S337" s="877"/>
      <c r="T337" s="877"/>
      <c r="U337" s="877"/>
      <c r="V337" s="877"/>
      <c r="W337" s="877"/>
      <c r="X337" s="877"/>
      <c r="Y337" s="877"/>
      <c r="Z337" s="877"/>
      <c r="AA337" s="877"/>
      <c r="AB337" s="877"/>
      <c r="AC337" s="877"/>
      <c r="AD337" s="877"/>
      <c r="AE337" s="877"/>
      <c r="AF337" s="877"/>
      <c r="AG337" s="877"/>
      <c r="AH337" s="877"/>
      <c r="AI337" s="877"/>
      <c r="AJ337" s="877"/>
      <c r="AK337" s="877"/>
      <c r="AL337" s="877"/>
      <c r="AM337" s="877"/>
      <c r="AN337" s="877"/>
      <c r="AO337" s="877"/>
      <c r="AP337" s="877"/>
      <c r="AQ337" s="877"/>
      <c r="AR337" s="877"/>
      <c r="AS337" s="877"/>
      <c r="AT337" s="877"/>
      <c r="AU337" s="877"/>
      <c r="AV337" s="877"/>
      <c r="AW337" s="635"/>
      <c r="AX337" s="635"/>
    </row>
    <row r="338" spans="6:50" x14ac:dyDescent="0.25">
      <c r="F338" s="127"/>
      <c r="G338" s="127"/>
      <c r="H338" s="127"/>
      <c r="I338" s="127"/>
      <c r="J338" s="643"/>
      <c r="K338" s="883"/>
      <c r="L338" s="883"/>
      <c r="M338" s="883"/>
      <c r="N338" s="883"/>
      <c r="O338" s="883"/>
      <c r="P338" s="883"/>
      <c r="Q338" s="877"/>
      <c r="R338" s="877"/>
      <c r="S338" s="877"/>
      <c r="T338" s="877"/>
      <c r="U338" s="877"/>
      <c r="V338" s="877"/>
      <c r="W338" s="877"/>
      <c r="X338" s="878"/>
      <c r="Y338" s="878"/>
      <c r="Z338" s="878"/>
      <c r="AA338" s="878"/>
      <c r="AB338" s="878"/>
      <c r="AC338" s="877"/>
      <c r="AD338" s="877"/>
      <c r="AE338" s="877"/>
      <c r="AF338" s="877"/>
      <c r="AG338" s="877"/>
      <c r="AH338" s="877"/>
      <c r="AI338" s="877"/>
      <c r="AJ338" s="877"/>
      <c r="AK338" s="877"/>
      <c r="AL338" s="877"/>
      <c r="AM338" s="877"/>
      <c r="AN338" s="877"/>
      <c r="AO338" s="877"/>
      <c r="AP338" s="877"/>
      <c r="AQ338" s="877"/>
      <c r="AR338" s="877"/>
      <c r="AS338" s="877"/>
      <c r="AT338" s="877"/>
      <c r="AU338" s="877"/>
      <c r="AV338" s="877"/>
      <c r="AW338" s="635"/>
      <c r="AX338" s="635"/>
    </row>
    <row r="339" spans="6:50" x14ac:dyDescent="0.25">
      <c r="F339" s="127"/>
      <c r="G339" s="127"/>
      <c r="H339" s="127"/>
      <c r="I339" s="127"/>
      <c r="J339" s="643"/>
      <c r="K339" s="883"/>
      <c r="L339" s="883"/>
      <c r="M339" s="883"/>
      <c r="N339" s="883"/>
      <c r="O339" s="883"/>
      <c r="P339" s="883"/>
      <c r="Q339" s="877"/>
      <c r="R339" s="877"/>
      <c r="S339" s="877"/>
      <c r="T339" s="877"/>
      <c r="U339" s="877"/>
      <c r="V339" s="877"/>
      <c r="W339" s="877"/>
      <c r="X339" s="878"/>
      <c r="Y339" s="878"/>
      <c r="Z339" s="878"/>
      <c r="AA339" s="878"/>
      <c r="AB339" s="878"/>
      <c r="AC339" s="877"/>
      <c r="AD339" s="877"/>
      <c r="AE339" s="877"/>
      <c r="AF339" s="877"/>
      <c r="AG339" s="877"/>
      <c r="AH339" s="877"/>
      <c r="AI339" s="877"/>
      <c r="AJ339" s="877"/>
      <c r="AK339" s="877"/>
      <c r="AL339" s="877"/>
      <c r="AM339" s="877"/>
      <c r="AN339" s="877"/>
      <c r="AO339" s="877"/>
      <c r="AP339" s="877"/>
      <c r="AQ339" s="877"/>
      <c r="AR339" s="877"/>
      <c r="AS339" s="877"/>
      <c r="AT339" s="877"/>
      <c r="AU339" s="877"/>
      <c r="AV339" s="877"/>
      <c r="AW339" s="635"/>
      <c r="AX339" s="635"/>
    </row>
    <row r="340" spans="6:50" x14ac:dyDescent="0.25">
      <c r="F340" s="127"/>
      <c r="G340" s="127"/>
      <c r="H340" s="127"/>
      <c r="I340" s="127"/>
      <c r="J340" s="643"/>
      <c r="K340" s="883"/>
      <c r="L340" s="883"/>
      <c r="M340" s="883"/>
      <c r="N340" s="883"/>
      <c r="O340" s="883"/>
      <c r="P340" s="883"/>
      <c r="Q340" s="877"/>
      <c r="R340" s="877"/>
      <c r="S340" s="877"/>
      <c r="T340" s="877"/>
      <c r="U340" s="877"/>
      <c r="V340" s="877"/>
      <c r="W340" s="877"/>
      <c r="X340" s="877"/>
      <c r="Y340" s="877"/>
      <c r="Z340" s="877"/>
      <c r="AA340" s="877"/>
      <c r="AB340" s="877"/>
      <c r="AC340" s="877"/>
      <c r="AD340" s="877"/>
      <c r="AE340" s="877"/>
      <c r="AF340" s="877"/>
      <c r="AG340" s="877"/>
      <c r="AH340" s="877"/>
      <c r="AI340" s="877"/>
      <c r="AJ340" s="877"/>
      <c r="AK340" s="877"/>
      <c r="AL340" s="877"/>
      <c r="AM340" s="877"/>
      <c r="AN340" s="877"/>
      <c r="AO340" s="877"/>
      <c r="AP340" s="877"/>
      <c r="AQ340" s="877"/>
      <c r="AR340" s="877"/>
      <c r="AS340" s="877"/>
      <c r="AT340" s="877"/>
      <c r="AU340" s="877"/>
      <c r="AV340" s="877"/>
      <c r="AW340" s="635"/>
      <c r="AX340" s="635"/>
    </row>
    <row r="341" spans="6:50" x14ac:dyDescent="0.25">
      <c r="F341" s="127"/>
      <c r="G341" s="127"/>
      <c r="H341" s="127"/>
      <c r="I341" s="127"/>
      <c r="J341" s="643"/>
      <c r="K341" s="883"/>
      <c r="L341" s="883"/>
      <c r="M341" s="883"/>
      <c r="N341" s="883"/>
      <c r="O341" s="883"/>
      <c r="P341" s="883"/>
      <c r="Q341" s="877"/>
      <c r="R341" s="877"/>
      <c r="S341" s="877"/>
      <c r="T341" s="877"/>
      <c r="U341" s="877"/>
      <c r="V341" s="877"/>
      <c r="W341" s="877"/>
      <c r="X341" s="878"/>
      <c r="Y341" s="878"/>
      <c r="Z341" s="878"/>
      <c r="AA341" s="878"/>
      <c r="AB341" s="878"/>
      <c r="AC341" s="877"/>
      <c r="AD341" s="877"/>
      <c r="AE341" s="877"/>
      <c r="AF341" s="877"/>
      <c r="AG341" s="877"/>
      <c r="AH341" s="877"/>
      <c r="AI341" s="877"/>
      <c r="AJ341" s="877"/>
      <c r="AK341" s="877"/>
      <c r="AL341" s="877"/>
      <c r="AM341" s="877"/>
      <c r="AN341" s="877"/>
      <c r="AO341" s="877"/>
      <c r="AP341" s="877"/>
      <c r="AQ341" s="877"/>
      <c r="AR341" s="877"/>
      <c r="AS341" s="877"/>
      <c r="AT341" s="877"/>
      <c r="AU341" s="877"/>
      <c r="AV341" s="877"/>
      <c r="AW341" s="635"/>
      <c r="AX341" s="635"/>
    </row>
    <row r="342" spans="6:50" ht="15.75" customHeight="1" x14ac:dyDescent="0.25">
      <c r="F342" s="127"/>
      <c r="G342" s="127"/>
      <c r="H342" s="127"/>
      <c r="I342" s="127"/>
      <c r="J342" s="643"/>
      <c r="K342" s="883"/>
      <c r="L342" s="883"/>
      <c r="M342" s="883"/>
      <c r="N342" s="883"/>
      <c r="O342" s="883"/>
      <c r="P342" s="883"/>
      <c r="Q342" s="877"/>
      <c r="R342" s="877"/>
      <c r="S342" s="877"/>
      <c r="T342" s="877"/>
      <c r="U342" s="877"/>
      <c r="V342" s="877"/>
      <c r="W342" s="877"/>
      <c r="X342" s="878"/>
      <c r="Y342" s="878"/>
      <c r="Z342" s="878"/>
      <c r="AA342" s="878"/>
      <c r="AB342" s="878"/>
      <c r="AC342" s="877"/>
      <c r="AD342" s="877"/>
      <c r="AE342" s="877"/>
      <c r="AF342" s="877"/>
      <c r="AG342" s="877"/>
      <c r="AH342" s="877"/>
      <c r="AI342" s="877"/>
      <c r="AJ342" s="877"/>
      <c r="AK342" s="877"/>
      <c r="AL342" s="877"/>
      <c r="AM342" s="877"/>
      <c r="AN342" s="877"/>
      <c r="AO342" s="877"/>
      <c r="AP342" s="877"/>
      <c r="AQ342" s="877"/>
      <c r="AR342" s="877"/>
      <c r="AS342" s="877"/>
      <c r="AT342" s="877"/>
      <c r="AU342" s="877"/>
      <c r="AV342" s="877"/>
      <c r="AW342" s="635"/>
      <c r="AX342" s="635"/>
    </row>
    <row r="343" spans="6:50" x14ac:dyDescent="0.25">
      <c r="F343" s="127"/>
      <c r="G343" s="127"/>
      <c r="H343" s="127"/>
      <c r="I343" s="127"/>
      <c r="J343" s="643"/>
      <c r="K343" s="883"/>
      <c r="L343" s="883"/>
      <c r="M343" s="883"/>
      <c r="N343" s="883"/>
      <c r="O343" s="883"/>
      <c r="P343" s="883"/>
      <c r="Q343" s="877"/>
      <c r="R343" s="877"/>
      <c r="S343" s="877"/>
      <c r="T343" s="877"/>
      <c r="U343" s="877"/>
      <c r="V343" s="877"/>
      <c r="W343" s="877"/>
      <c r="X343" s="878"/>
      <c r="Y343" s="878"/>
      <c r="Z343" s="878"/>
      <c r="AA343" s="878"/>
      <c r="AB343" s="878"/>
      <c r="AC343" s="877"/>
      <c r="AD343" s="877"/>
      <c r="AE343" s="877"/>
      <c r="AF343" s="877"/>
      <c r="AG343" s="877"/>
      <c r="AH343" s="877"/>
      <c r="AI343" s="877"/>
      <c r="AJ343" s="877"/>
      <c r="AK343" s="877"/>
      <c r="AL343" s="877"/>
      <c r="AM343" s="877"/>
      <c r="AN343" s="877"/>
      <c r="AO343" s="877"/>
      <c r="AP343" s="877"/>
      <c r="AQ343" s="877"/>
      <c r="AR343" s="877"/>
      <c r="AS343" s="877"/>
      <c r="AT343" s="877"/>
      <c r="AU343" s="877"/>
      <c r="AV343" s="877"/>
      <c r="AW343" s="635"/>
      <c r="AX343" s="635"/>
    </row>
    <row r="344" spans="6:50" x14ac:dyDescent="0.25">
      <c r="F344" s="127"/>
      <c r="G344" s="127"/>
      <c r="H344" s="127"/>
      <c r="I344" s="127"/>
      <c r="J344" s="643"/>
      <c r="K344" s="883"/>
      <c r="L344" s="883"/>
      <c r="M344" s="883"/>
      <c r="N344" s="883"/>
      <c r="O344" s="883"/>
      <c r="P344" s="883"/>
      <c r="Q344" s="877"/>
      <c r="R344" s="877"/>
      <c r="S344" s="877"/>
      <c r="T344" s="877"/>
      <c r="U344" s="877"/>
      <c r="V344" s="877"/>
      <c r="W344" s="877"/>
      <c r="X344" s="878"/>
      <c r="Y344" s="878"/>
      <c r="Z344" s="878"/>
      <c r="AA344" s="878"/>
      <c r="AB344" s="878"/>
      <c r="AC344" s="877"/>
      <c r="AD344" s="877"/>
      <c r="AE344" s="877"/>
      <c r="AF344" s="877"/>
      <c r="AG344" s="877"/>
      <c r="AH344" s="877"/>
      <c r="AI344" s="877"/>
      <c r="AJ344" s="877"/>
      <c r="AK344" s="877"/>
      <c r="AL344" s="877"/>
      <c r="AM344" s="877"/>
      <c r="AN344" s="877"/>
      <c r="AO344" s="877"/>
      <c r="AP344" s="877"/>
      <c r="AQ344" s="877"/>
      <c r="AR344" s="877"/>
      <c r="AS344" s="877"/>
      <c r="AT344" s="877"/>
      <c r="AU344" s="877"/>
      <c r="AV344" s="877"/>
      <c r="AW344" s="635"/>
      <c r="AX344" s="635"/>
    </row>
    <row r="345" spans="6:50" ht="15.75" customHeight="1" x14ac:dyDescent="0.25">
      <c r="F345" s="127"/>
      <c r="G345" s="127"/>
      <c r="H345" s="127"/>
      <c r="I345" s="127"/>
      <c r="J345" s="643"/>
      <c r="K345" s="883"/>
      <c r="L345" s="883"/>
      <c r="M345" s="883"/>
      <c r="N345" s="883"/>
      <c r="O345" s="883"/>
      <c r="P345" s="883"/>
      <c r="Q345" s="877"/>
      <c r="R345" s="877"/>
      <c r="S345" s="877"/>
      <c r="T345" s="877"/>
      <c r="U345" s="877"/>
      <c r="V345" s="877"/>
      <c r="W345" s="877"/>
      <c r="X345" s="877"/>
      <c r="Y345" s="877"/>
      <c r="Z345" s="877"/>
      <c r="AA345" s="877"/>
      <c r="AB345" s="877"/>
      <c r="AC345" s="877"/>
      <c r="AD345" s="877"/>
      <c r="AE345" s="877"/>
      <c r="AF345" s="877"/>
      <c r="AG345" s="877"/>
      <c r="AH345" s="877"/>
      <c r="AI345" s="877"/>
      <c r="AJ345" s="877"/>
      <c r="AK345" s="877"/>
      <c r="AL345" s="877"/>
      <c r="AM345" s="877"/>
      <c r="AN345" s="877"/>
      <c r="AO345" s="877"/>
      <c r="AP345" s="877"/>
      <c r="AQ345" s="877"/>
      <c r="AR345" s="877"/>
      <c r="AS345" s="877"/>
      <c r="AT345" s="877"/>
      <c r="AU345" s="877"/>
      <c r="AV345" s="877"/>
      <c r="AW345" s="644"/>
      <c r="AX345" s="645"/>
    </row>
    <row r="346" spans="6:50" x14ac:dyDescent="0.25">
      <c r="F346" s="127"/>
      <c r="G346" s="127"/>
      <c r="H346" s="127"/>
      <c r="I346" s="127"/>
      <c r="J346" s="643"/>
      <c r="K346" s="883"/>
      <c r="L346" s="883"/>
      <c r="M346" s="883"/>
      <c r="N346" s="884"/>
      <c r="O346" s="884"/>
      <c r="P346" s="884"/>
      <c r="Q346" s="877"/>
      <c r="R346" s="877"/>
      <c r="S346" s="877"/>
      <c r="T346" s="877"/>
      <c r="U346" s="877"/>
      <c r="V346" s="877"/>
      <c r="W346" s="877"/>
      <c r="X346" s="877"/>
      <c r="Y346" s="877"/>
      <c r="Z346" s="877"/>
      <c r="AA346" s="877"/>
      <c r="AB346" s="877"/>
      <c r="AC346" s="877"/>
      <c r="AD346" s="877"/>
      <c r="AE346" s="877"/>
      <c r="AF346" s="877"/>
      <c r="AG346" s="877"/>
      <c r="AH346" s="877"/>
      <c r="AI346" s="877"/>
      <c r="AJ346" s="877"/>
      <c r="AK346" s="877"/>
      <c r="AL346" s="877"/>
      <c r="AM346" s="877"/>
      <c r="AN346" s="877"/>
      <c r="AO346" s="877"/>
      <c r="AP346" s="877"/>
      <c r="AQ346" s="877"/>
      <c r="AR346" s="877"/>
      <c r="AS346" s="877"/>
      <c r="AT346" s="877"/>
      <c r="AU346" s="877"/>
      <c r="AV346" s="877"/>
      <c r="AW346" s="644"/>
      <c r="AX346" s="635"/>
    </row>
    <row r="347" spans="6:50" x14ac:dyDescent="0.25">
      <c r="F347" s="127"/>
      <c r="G347" s="127"/>
      <c r="H347" s="127"/>
      <c r="I347" s="127"/>
      <c r="J347" s="643"/>
      <c r="K347" s="883"/>
      <c r="L347" s="883"/>
      <c r="M347" s="883"/>
      <c r="N347" s="883"/>
      <c r="O347" s="883"/>
      <c r="P347" s="883"/>
      <c r="Q347" s="877"/>
      <c r="R347" s="877"/>
      <c r="S347" s="877"/>
      <c r="T347" s="877"/>
      <c r="U347" s="877"/>
      <c r="V347" s="877"/>
      <c r="W347" s="877"/>
      <c r="X347" s="877"/>
      <c r="Y347" s="877"/>
      <c r="Z347" s="877"/>
      <c r="AA347" s="877"/>
      <c r="AB347" s="877"/>
      <c r="AC347" s="877"/>
      <c r="AD347" s="877"/>
      <c r="AE347" s="877"/>
      <c r="AF347" s="877"/>
      <c r="AG347" s="877"/>
      <c r="AH347" s="877"/>
      <c r="AI347" s="877"/>
      <c r="AJ347" s="877"/>
      <c r="AK347" s="877"/>
      <c r="AL347" s="877"/>
      <c r="AM347" s="877"/>
      <c r="AN347" s="877"/>
      <c r="AO347" s="877"/>
      <c r="AP347" s="877"/>
      <c r="AQ347" s="877"/>
      <c r="AR347" s="877"/>
      <c r="AS347" s="877"/>
      <c r="AT347" s="877"/>
      <c r="AU347" s="877"/>
      <c r="AV347" s="877"/>
      <c r="AW347" s="635"/>
      <c r="AX347" s="635"/>
    </row>
    <row r="348" spans="6:50" ht="15.75" customHeight="1" x14ac:dyDescent="0.25">
      <c r="F348" s="127"/>
      <c r="G348" s="127"/>
      <c r="H348" s="127"/>
      <c r="I348" s="127"/>
      <c r="J348" s="643"/>
      <c r="K348" s="883"/>
      <c r="L348" s="883"/>
      <c r="M348" s="883"/>
      <c r="N348" s="883"/>
      <c r="O348" s="883"/>
      <c r="P348" s="883"/>
      <c r="Q348" s="877"/>
      <c r="R348" s="877"/>
      <c r="S348" s="877"/>
      <c r="T348" s="877"/>
      <c r="U348" s="877"/>
      <c r="V348" s="877"/>
      <c r="W348" s="877"/>
      <c r="X348" s="877"/>
      <c r="Y348" s="877"/>
      <c r="Z348" s="877"/>
      <c r="AA348" s="877"/>
      <c r="AB348" s="877"/>
      <c r="AC348" s="877"/>
      <c r="AD348" s="877"/>
      <c r="AE348" s="877"/>
      <c r="AF348" s="877"/>
      <c r="AG348" s="877"/>
      <c r="AH348" s="877"/>
      <c r="AI348" s="877"/>
      <c r="AJ348" s="877"/>
      <c r="AK348" s="877"/>
      <c r="AL348" s="877"/>
      <c r="AM348" s="877"/>
      <c r="AN348" s="877"/>
      <c r="AO348" s="877"/>
      <c r="AP348" s="877"/>
      <c r="AQ348" s="877"/>
      <c r="AR348" s="877"/>
      <c r="AS348" s="877"/>
      <c r="AT348" s="877"/>
      <c r="AU348" s="877"/>
      <c r="AV348" s="877"/>
      <c r="AW348" s="635"/>
      <c r="AX348" s="635"/>
    </row>
    <row r="349" spans="6:50" ht="15.75" customHeight="1" x14ac:dyDescent="0.25">
      <c r="F349" s="127"/>
      <c r="G349" s="127"/>
      <c r="H349" s="127"/>
      <c r="I349" s="127"/>
      <c r="J349" s="643"/>
      <c r="K349" s="883"/>
      <c r="L349" s="883"/>
      <c r="M349" s="883"/>
      <c r="N349" s="883"/>
      <c r="O349" s="883"/>
      <c r="P349" s="883"/>
      <c r="Q349" s="877"/>
      <c r="R349" s="877"/>
      <c r="S349" s="877"/>
      <c r="T349" s="877"/>
      <c r="U349" s="877"/>
      <c r="V349" s="877"/>
      <c r="W349" s="877"/>
      <c r="X349" s="877"/>
      <c r="Y349" s="877"/>
      <c r="Z349" s="877"/>
      <c r="AA349" s="877"/>
      <c r="AB349" s="877"/>
      <c r="AC349" s="877"/>
      <c r="AD349" s="877"/>
      <c r="AE349" s="877"/>
      <c r="AF349" s="877"/>
      <c r="AG349" s="877"/>
      <c r="AH349" s="877"/>
      <c r="AI349" s="877"/>
      <c r="AJ349" s="877"/>
      <c r="AK349" s="877"/>
      <c r="AL349" s="877"/>
      <c r="AM349" s="877"/>
      <c r="AN349" s="877"/>
      <c r="AO349" s="877"/>
      <c r="AP349" s="877"/>
      <c r="AQ349" s="877"/>
      <c r="AR349" s="877"/>
      <c r="AS349" s="877"/>
      <c r="AT349" s="877"/>
      <c r="AU349" s="877"/>
      <c r="AV349" s="877"/>
      <c r="AW349" s="635"/>
      <c r="AX349" s="635"/>
    </row>
    <row r="350" spans="6:50" ht="15.75" customHeight="1" x14ac:dyDescent="0.25">
      <c r="F350" s="127"/>
      <c r="G350" s="127"/>
      <c r="H350" s="127"/>
      <c r="I350" s="127"/>
      <c r="J350" s="643"/>
      <c r="K350" s="883"/>
      <c r="L350" s="883"/>
      <c r="M350" s="883"/>
      <c r="N350" s="883"/>
      <c r="O350" s="883"/>
      <c r="P350" s="883"/>
      <c r="Q350" s="877"/>
      <c r="R350" s="877"/>
      <c r="S350" s="877"/>
      <c r="T350" s="877"/>
      <c r="U350" s="877"/>
      <c r="V350" s="877"/>
      <c r="W350" s="877"/>
      <c r="X350" s="877"/>
      <c r="Y350" s="877"/>
      <c r="Z350" s="877"/>
      <c r="AA350" s="877"/>
      <c r="AB350" s="877"/>
      <c r="AC350" s="877"/>
      <c r="AD350" s="877"/>
      <c r="AE350" s="877"/>
      <c r="AF350" s="877"/>
      <c r="AG350" s="877"/>
      <c r="AH350" s="877"/>
      <c r="AI350" s="877"/>
      <c r="AJ350" s="877"/>
      <c r="AK350" s="877"/>
      <c r="AL350" s="877"/>
      <c r="AM350" s="877"/>
      <c r="AN350" s="877"/>
      <c r="AO350" s="877"/>
      <c r="AP350" s="877"/>
      <c r="AQ350" s="877"/>
      <c r="AR350" s="877"/>
      <c r="AS350" s="877"/>
      <c r="AT350" s="877"/>
      <c r="AU350" s="877"/>
      <c r="AV350" s="877"/>
      <c r="AW350" s="635"/>
      <c r="AX350" s="635"/>
    </row>
    <row r="351" spans="6:50" x14ac:dyDescent="0.25">
      <c r="F351" s="127"/>
      <c r="G351" s="127"/>
      <c r="H351" s="127"/>
      <c r="I351" s="127"/>
      <c r="J351" s="643"/>
      <c r="K351" s="883"/>
      <c r="L351" s="883"/>
      <c r="M351" s="883"/>
      <c r="N351" s="883"/>
      <c r="O351" s="883"/>
      <c r="P351" s="883"/>
      <c r="Q351" s="877"/>
      <c r="R351" s="877"/>
      <c r="S351" s="877"/>
      <c r="T351" s="877"/>
      <c r="U351" s="877"/>
      <c r="V351" s="877"/>
      <c r="W351" s="877"/>
      <c r="X351" s="877"/>
      <c r="Y351" s="877"/>
      <c r="Z351" s="877"/>
      <c r="AA351" s="877"/>
      <c r="AB351" s="877"/>
      <c r="AC351" s="877"/>
      <c r="AD351" s="877"/>
      <c r="AE351" s="877"/>
      <c r="AF351" s="877"/>
      <c r="AG351" s="877"/>
      <c r="AH351" s="877"/>
      <c r="AI351" s="877"/>
      <c r="AJ351" s="877"/>
      <c r="AK351" s="877"/>
      <c r="AL351" s="877"/>
      <c r="AM351" s="877"/>
      <c r="AN351" s="877"/>
      <c r="AO351" s="877"/>
      <c r="AP351" s="877"/>
      <c r="AQ351" s="877"/>
      <c r="AR351" s="877"/>
      <c r="AS351" s="877"/>
      <c r="AT351" s="877"/>
      <c r="AU351" s="877"/>
      <c r="AV351" s="877"/>
      <c r="AW351" s="635"/>
      <c r="AX351" s="635"/>
    </row>
    <row r="352" spans="6:50" x14ac:dyDescent="0.25">
      <c r="F352" s="127"/>
      <c r="G352" s="127"/>
      <c r="H352" s="127"/>
      <c r="I352" s="127"/>
      <c r="J352" s="643"/>
      <c r="K352" s="883"/>
      <c r="L352" s="883"/>
      <c r="M352" s="883"/>
      <c r="N352" s="883"/>
      <c r="O352" s="883"/>
      <c r="P352" s="883"/>
      <c r="Q352" s="877"/>
      <c r="R352" s="877"/>
      <c r="S352" s="877"/>
      <c r="T352" s="877"/>
      <c r="U352" s="877"/>
      <c r="V352" s="877"/>
      <c r="W352" s="877"/>
      <c r="X352" s="878"/>
      <c r="Y352" s="878"/>
      <c r="Z352" s="878"/>
      <c r="AA352" s="878"/>
      <c r="AB352" s="878"/>
      <c r="AC352" s="877"/>
      <c r="AD352" s="877"/>
      <c r="AE352" s="877"/>
      <c r="AF352" s="877"/>
      <c r="AG352" s="877"/>
      <c r="AH352" s="877"/>
      <c r="AI352" s="877"/>
      <c r="AJ352" s="877"/>
      <c r="AK352" s="877"/>
      <c r="AL352" s="877"/>
      <c r="AM352" s="877"/>
      <c r="AN352" s="877"/>
      <c r="AO352" s="877"/>
      <c r="AP352" s="877"/>
      <c r="AQ352" s="877"/>
      <c r="AR352" s="877"/>
      <c r="AS352" s="877"/>
      <c r="AT352" s="877"/>
      <c r="AU352" s="877"/>
      <c r="AV352" s="877"/>
      <c r="AW352" s="635"/>
      <c r="AX352" s="635"/>
    </row>
    <row r="353" spans="6:50" ht="15.75" customHeight="1" x14ac:dyDescent="0.25">
      <c r="F353" s="127"/>
      <c r="G353" s="127"/>
      <c r="H353" s="127"/>
      <c r="I353" s="127"/>
      <c r="J353" s="643"/>
      <c r="K353" s="883"/>
      <c r="L353" s="883"/>
      <c r="M353" s="883"/>
      <c r="N353" s="883"/>
      <c r="O353" s="883"/>
      <c r="P353" s="883"/>
      <c r="Q353" s="877"/>
      <c r="R353" s="877"/>
      <c r="S353" s="877"/>
      <c r="T353" s="877"/>
      <c r="U353" s="877"/>
      <c r="V353" s="877"/>
      <c r="W353" s="877"/>
      <c r="X353" s="878"/>
      <c r="Y353" s="878"/>
      <c r="Z353" s="878"/>
      <c r="AA353" s="878"/>
      <c r="AB353" s="878"/>
      <c r="AC353" s="877"/>
      <c r="AD353" s="877"/>
      <c r="AE353" s="877"/>
      <c r="AF353" s="877"/>
      <c r="AG353" s="877"/>
      <c r="AH353" s="877"/>
      <c r="AI353" s="877"/>
      <c r="AJ353" s="877"/>
      <c r="AK353" s="877"/>
      <c r="AL353" s="877"/>
      <c r="AM353" s="877"/>
      <c r="AN353" s="877"/>
      <c r="AO353" s="877"/>
      <c r="AP353" s="877"/>
      <c r="AQ353" s="877"/>
      <c r="AR353" s="877"/>
      <c r="AS353" s="877"/>
      <c r="AT353" s="877"/>
      <c r="AU353" s="877"/>
      <c r="AV353" s="877"/>
      <c r="AW353" s="635"/>
      <c r="AX353" s="635"/>
    </row>
    <row r="354" spans="6:50" ht="15.75" customHeight="1" x14ac:dyDescent="0.25">
      <c r="F354" s="127"/>
      <c r="G354" s="127"/>
      <c r="H354" s="127"/>
      <c r="I354" s="127"/>
      <c r="J354" s="643"/>
      <c r="K354" s="883"/>
      <c r="L354" s="883"/>
      <c r="M354" s="883"/>
      <c r="N354" s="883"/>
      <c r="O354" s="883"/>
      <c r="P354" s="883"/>
      <c r="Q354" s="877"/>
      <c r="R354" s="877"/>
      <c r="S354" s="877"/>
      <c r="T354" s="877"/>
      <c r="U354" s="877"/>
      <c r="V354" s="877"/>
      <c r="W354" s="877"/>
      <c r="X354" s="877"/>
      <c r="Y354" s="877"/>
      <c r="Z354" s="877"/>
      <c r="AA354" s="877"/>
      <c r="AB354" s="877"/>
      <c r="AC354" s="877"/>
      <c r="AD354" s="877"/>
      <c r="AE354" s="877"/>
      <c r="AF354" s="877"/>
      <c r="AG354" s="877"/>
      <c r="AH354" s="877"/>
      <c r="AI354" s="877"/>
      <c r="AJ354" s="877"/>
      <c r="AK354" s="877"/>
      <c r="AL354" s="877"/>
      <c r="AM354" s="877"/>
      <c r="AN354" s="877"/>
      <c r="AO354" s="877"/>
      <c r="AP354" s="877"/>
      <c r="AQ354" s="877"/>
      <c r="AR354" s="877"/>
      <c r="AS354" s="877"/>
      <c r="AT354" s="877"/>
      <c r="AU354" s="877"/>
      <c r="AV354" s="877"/>
      <c r="AW354" s="635"/>
      <c r="AX354" s="635"/>
    </row>
    <row r="355" spans="6:50" x14ac:dyDescent="0.25">
      <c r="F355" s="127"/>
      <c r="G355" s="127"/>
      <c r="H355" s="127"/>
      <c r="I355" s="127"/>
      <c r="J355" s="643"/>
      <c r="K355" s="883"/>
      <c r="L355" s="883"/>
      <c r="M355" s="883"/>
      <c r="N355" s="883"/>
      <c r="O355" s="883"/>
      <c r="P355" s="883"/>
      <c r="Q355" s="877"/>
      <c r="R355" s="877"/>
      <c r="S355" s="877"/>
      <c r="T355" s="877"/>
      <c r="U355" s="877"/>
      <c r="V355" s="877"/>
      <c r="W355" s="877"/>
      <c r="X355" s="878"/>
      <c r="Y355" s="878"/>
      <c r="Z355" s="878"/>
      <c r="AA355" s="878"/>
      <c r="AB355" s="878"/>
      <c r="AC355" s="877"/>
      <c r="AD355" s="877"/>
      <c r="AE355" s="877"/>
      <c r="AF355" s="877"/>
      <c r="AG355" s="877"/>
      <c r="AH355" s="877"/>
      <c r="AI355" s="877"/>
      <c r="AJ355" s="877"/>
      <c r="AK355" s="877"/>
      <c r="AL355" s="877"/>
      <c r="AM355" s="877"/>
      <c r="AN355" s="877"/>
      <c r="AO355" s="877"/>
      <c r="AP355" s="877"/>
      <c r="AQ355" s="877"/>
      <c r="AR355" s="877"/>
      <c r="AS355" s="877"/>
      <c r="AT355" s="877"/>
      <c r="AU355" s="877"/>
      <c r="AV355" s="877"/>
      <c r="AW355" s="635"/>
      <c r="AX355" s="635"/>
    </row>
    <row r="356" spans="6:50" ht="15.75" customHeight="1" x14ac:dyDescent="0.25">
      <c r="F356" s="127"/>
      <c r="G356" s="127"/>
      <c r="H356" s="127"/>
      <c r="I356" s="127"/>
      <c r="J356" s="643"/>
      <c r="K356" s="883"/>
      <c r="L356" s="883"/>
      <c r="M356" s="883"/>
      <c r="N356" s="883"/>
      <c r="O356" s="883"/>
      <c r="P356" s="883"/>
      <c r="Q356" s="877"/>
      <c r="R356" s="877"/>
      <c r="S356" s="877"/>
      <c r="T356" s="877"/>
      <c r="U356" s="877"/>
      <c r="V356" s="877"/>
      <c r="W356" s="877"/>
      <c r="X356" s="878"/>
      <c r="Y356" s="878"/>
      <c r="Z356" s="878"/>
      <c r="AA356" s="878"/>
      <c r="AB356" s="878"/>
      <c r="AC356" s="877"/>
      <c r="AD356" s="877"/>
      <c r="AE356" s="877"/>
      <c r="AF356" s="877"/>
      <c r="AG356" s="877"/>
      <c r="AH356" s="877"/>
      <c r="AI356" s="877"/>
      <c r="AJ356" s="877"/>
      <c r="AK356" s="877"/>
      <c r="AL356" s="877"/>
      <c r="AM356" s="877"/>
      <c r="AN356" s="877"/>
      <c r="AO356" s="877"/>
      <c r="AP356" s="877"/>
      <c r="AQ356" s="877"/>
      <c r="AR356" s="877"/>
      <c r="AS356" s="877"/>
      <c r="AT356" s="877"/>
      <c r="AU356" s="877"/>
      <c r="AV356" s="877"/>
      <c r="AW356" s="635"/>
      <c r="AX356" s="635"/>
    </row>
    <row r="357" spans="6:50" x14ac:dyDescent="0.25">
      <c r="F357" s="646"/>
      <c r="G357" s="646"/>
      <c r="H357" s="646"/>
      <c r="I357" s="646"/>
      <c r="J357" s="647"/>
      <c r="K357" s="883"/>
      <c r="L357" s="883"/>
      <c r="M357" s="883"/>
      <c r="N357" s="884"/>
      <c r="O357" s="884"/>
      <c r="P357" s="884"/>
      <c r="Q357" s="877"/>
      <c r="R357" s="877"/>
      <c r="S357" s="877"/>
      <c r="T357" s="877"/>
      <c r="U357" s="877"/>
      <c r="V357" s="877"/>
      <c r="W357" s="877"/>
      <c r="X357" s="878"/>
      <c r="Y357" s="878"/>
      <c r="Z357" s="878"/>
      <c r="AA357" s="878"/>
      <c r="AB357" s="878"/>
      <c r="AC357" s="877"/>
      <c r="AD357" s="877"/>
      <c r="AE357" s="877"/>
      <c r="AF357" s="877"/>
      <c r="AG357" s="877"/>
      <c r="AH357" s="877"/>
      <c r="AI357" s="877"/>
      <c r="AJ357" s="877"/>
      <c r="AK357" s="877"/>
      <c r="AL357" s="877"/>
      <c r="AM357" s="877"/>
      <c r="AN357" s="877"/>
      <c r="AO357" s="877"/>
      <c r="AP357" s="877"/>
      <c r="AQ357" s="877"/>
      <c r="AR357" s="877"/>
      <c r="AS357" s="877"/>
      <c r="AT357" s="877"/>
      <c r="AU357" s="877"/>
      <c r="AV357" s="877"/>
      <c r="AW357" s="635"/>
      <c r="AX357" s="635"/>
    </row>
    <row r="358" spans="6:50" x14ac:dyDescent="0.25">
      <c r="F358" s="648"/>
      <c r="G358" s="648"/>
      <c r="H358" s="648"/>
      <c r="I358" s="648"/>
      <c r="J358" s="647"/>
      <c r="K358" s="883"/>
      <c r="L358" s="883"/>
      <c r="M358" s="883"/>
      <c r="N358" s="884"/>
      <c r="O358" s="884"/>
      <c r="P358" s="884"/>
      <c r="Q358" s="877"/>
      <c r="R358" s="877"/>
      <c r="S358" s="877"/>
      <c r="T358" s="877"/>
      <c r="U358" s="877"/>
      <c r="V358" s="877"/>
      <c r="W358" s="877"/>
      <c r="X358" s="878"/>
      <c r="Y358" s="878"/>
      <c r="Z358" s="878"/>
      <c r="AA358" s="878"/>
      <c r="AB358" s="878"/>
      <c r="AC358" s="877"/>
      <c r="AD358" s="877"/>
      <c r="AE358" s="877"/>
      <c r="AF358" s="877"/>
      <c r="AG358" s="877"/>
      <c r="AH358" s="877"/>
      <c r="AI358" s="877"/>
      <c r="AJ358" s="877"/>
      <c r="AK358" s="877"/>
      <c r="AL358" s="877"/>
      <c r="AM358" s="877"/>
      <c r="AN358" s="877"/>
      <c r="AO358" s="877"/>
      <c r="AP358" s="877"/>
      <c r="AQ358" s="877"/>
      <c r="AR358" s="877"/>
      <c r="AS358" s="877"/>
      <c r="AT358" s="877"/>
      <c r="AU358" s="877"/>
      <c r="AV358" s="877"/>
      <c r="AW358" s="635"/>
      <c r="AX358" s="635"/>
    </row>
    <row r="359" spans="6:50" x14ac:dyDescent="0.25">
      <c r="F359" s="648"/>
      <c r="G359" s="648"/>
      <c r="H359" s="648"/>
      <c r="I359" s="648"/>
      <c r="J359" s="647"/>
      <c r="K359" s="883"/>
      <c r="L359" s="883"/>
      <c r="M359" s="883"/>
      <c r="N359" s="883"/>
      <c r="O359" s="883"/>
      <c r="P359" s="883"/>
      <c r="Q359" s="877"/>
      <c r="R359" s="877"/>
      <c r="S359" s="877"/>
      <c r="T359" s="877"/>
      <c r="U359" s="877"/>
      <c r="V359" s="877"/>
      <c r="W359" s="877"/>
      <c r="X359" s="877"/>
      <c r="Y359" s="877"/>
      <c r="Z359" s="877"/>
      <c r="AA359" s="877"/>
      <c r="AB359" s="877"/>
      <c r="AC359" s="877"/>
      <c r="AD359" s="877"/>
      <c r="AE359" s="877"/>
      <c r="AF359" s="877"/>
      <c r="AG359" s="877"/>
      <c r="AH359" s="877"/>
      <c r="AI359" s="877"/>
      <c r="AJ359" s="877"/>
      <c r="AK359" s="877"/>
      <c r="AL359" s="877"/>
      <c r="AM359" s="877"/>
      <c r="AN359" s="877"/>
      <c r="AO359" s="877"/>
      <c r="AP359" s="877"/>
      <c r="AQ359" s="877"/>
      <c r="AR359" s="877"/>
      <c r="AS359" s="877"/>
      <c r="AT359" s="877"/>
      <c r="AU359" s="877"/>
      <c r="AV359" s="877"/>
      <c r="AW359" s="635"/>
      <c r="AX359" s="635"/>
    </row>
    <row r="360" spans="6:50" x14ac:dyDescent="0.25">
      <c r="F360" s="648"/>
      <c r="G360" s="648"/>
      <c r="H360" s="648"/>
      <c r="I360" s="648"/>
      <c r="J360" s="647"/>
      <c r="K360" s="883"/>
      <c r="L360" s="883"/>
      <c r="M360" s="883"/>
      <c r="N360" s="883"/>
      <c r="O360" s="883"/>
      <c r="P360" s="883"/>
      <c r="Q360" s="877"/>
      <c r="R360" s="877"/>
      <c r="S360" s="877"/>
      <c r="T360" s="877"/>
      <c r="U360" s="877"/>
      <c r="V360" s="877"/>
      <c r="W360" s="877"/>
      <c r="X360" s="877"/>
      <c r="Y360" s="877"/>
      <c r="Z360" s="877"/>
      <c r="AA360" s="877"/>
      <c r="AB360" s="877"/>
      <c r="AC360" s="877"/>
      <c r="AD360" s="877"/>
      <c r="AE360" s="877"/>
      <c r="AF360" s="877"/>
      <c r="AG360" s="877"/>
      <c r="AH360" s="877"/>
      <c r="AI360" s="877"/>
      <c r="AJ360" s="877"/>
      <c r="AK360" s="877"/>
      <c r="AL360" s="877"/>
      <c r="AM360" s="877"/>
      <c r="AN360" s="877"/>
      <c r="AO360" s="877"/>
      <c r="AP360" s="877"/>
      <c r="AQ360" s="877"/>
      <c r="AR360" s="877"/>
      <c r="AS360" s="877"/>
      <c r="AT360" s="877"/>
      <c r="AU360" s="877"/>
      <c r="AV360" s="877"/>
      <c r="AW360" s="635"/>
      <c r="AX360" s="635"/>
    </row>
    <row r="361" spans="6:50" x14ac:dyDescent="0.25">
      <c r="F361" s="646"/>
      <c r="G361" s="646"/>
      <c r="H361" s="646"/>
      <c r="I361" s="646"/>
      <c r="J361" s="647"/>
      <c r="K361" s="883"/>
      <c r="L361" s="883"/>
      <c r="M361" s="883"/>
      <c r="N361" s="884"/>
      <c r="O361" s="884"/>
      <c r="P361" s="884"/>
      <c r="Q361" s="877"/>
      <c r="R361" s="877"/>
      <c r="S361" s="877"/>
      <c r="T361" s="877"/>
      <c r="U361" s="877"/>
      <c r="V361" s="877"/>
      <c r="W361" s="877"/>
      <c r="X361" s="878"/>
      <c r="Y361" s="878"/>
      <c r="Z361" s="878"/>
      <c r="AA361" s="878"/>
      <c r="AB361" s="878"/>
      <c r="AC361" s="877"/>
      <c r="AD361" s="877"/>
      <c r="AE361" s="877"/>
      <c r="AF361" s="877"/>
      <c r="AG361" s="877"/>
      <c r="AH361" s="877"/>
      <c r="AI361" s="877"/>
      <c r="AJ361" s="877"/>
      <c r="AK361" s="877"/>
      <c r="AL361" s="877"/>
      <c r="AM361" s="877"/>
      <c r="AN361" s="877"/>
      <c r="AO361" s="877"/>
      <c r="AP361" s="877"/>
      <c r="AQ361" s="877"/>
      <c r="AR361" s="877"/>
      <c r="AS361" s="877"/>
      <c r="AT361" s="877"/>
      <c r="AU361" s="877"/>
      <c r="AV361" s="877"/>
      <c r="AW361" s="635"/>
      <c r="AX361" s="635"/>
    </row>
    <row r="362" spans="6:50" x14ac:dyDescent="0.25">
      <c r="F362" s="648"/>
      <c r="G362" s="648"/>
      <c r="H362" s="648"/>
      <c r="I362" s="648"/>
      <c r="J362" s="647"/>
      <c r="K362" s="883"/>
      <c r="L362" s="883"/>
      <c r="M362" s="883"/>
      <c r="N362" s="884"/>
      <c r="O362" s="884"/>
      <c r="P362" s="884"/>
      <c r="Q362" s="877"/>
      <c r="R362" s="877"/>
      <c r="S362" s="877"/>
      <c r="T362" s="877"/>
      <c r="U362" s="877"/>
      <c r="V362" s="877"/>
      <c r="W362" s="877"/>
      <c r="X362" s="878"/>
      <c r="Y362" s="878"/>
      <c r="Z362" s="878"/>
      <c r="AA362" s="878"/>
      <c r="AB362" s="878"/>
      <c r="AC362" s="877"/>
      <c r="AD362" s="877"/>
      <c r="AE362" s="877"/>
      <c r="AF362" s="877"/>
      <c r="AG362" s="877"/>
      <c r="AH362" s="877"/>
      <c r="AI362" s="877"/>
      <c r="AJ362" s="877"/>
      <c r="AK362" s="877"/>
      <c r="AL362" s="877"/>
      <c r="AM362" s="877"/>
      <c r="AN362" s="877"/>
      <c r="AO362" s="877"/>
      <c r="AP362" s="877"/>
      <c r="AQ362" s="877"/>
      <c r="AR362" s="877"/>
      <c r="AS362" s="877"/>
      <c r="AT362" s="877"/>
      <c r="AU362" s="877"/>
      <c r="AV362" s="877"/>
      <c r="AW362" s="635"/>
      <c r="AX362" s="635"/>
    </row>
    <row r="363" spans="6:50" x14ac:dyDescent="0.25">
      <c r="F363" s="648"/>
      <c r="G363" s="648"/>
      <c r="H363" s="648"/>
      <c r="I363" s="648"/>
      <c r="J363" s="647"/>
      <c r="K363" s="883"/>
      <c r="L363" s="883"/>
      <c r="M363" s="883"/>
      <c r="N363" s="883"/>
      <c r="O363" s="883"/>
      <c r="P363" s="883"/>
      <c r="Q363" s="877"/>
      <c r="R363" s="877"/>
      <c r="S363" s="877"/>
      <c r="T363" s="877"/>
      <c r="U363" s="877"/>
      <c r="V363" s="877"/>
      <c r="W363" s="877"/>
      <c r="X363" s="877"/>
      <c r="Y363" s="877"/>
      <c r="Z363" s="877"/>
      <c r="AA363" s="877"/>
      <c r="AB363" s="877"/>
      <c r="AC363" s="877"/>
      <c r="AD363" s="877"/>
      <c r="AE363" s="877"/>
      <c r="AF363" s="877"/>
      <c r="AG363" s="877"/>
      <c r="AH363" s="877"/>
      <c r="AI363" s="877"/>
      <c r="AJ363" s="877"/>
      <c r="AK363" s="877"/>
      <c r="AL363" s="877"/>
      <c r="AM363" s="877"/>
      <c r="AN363" s="877"/>
      <c r="AO363" s="877"/>
      <c r="AP363" s="877"/>
      <c r="AQ363" s="877"/>
      <c r="AR363" s="877"/>
      <c r="AS363" s="877"/>
      <c r="AT363" s="877"/>
      <c r="AU363" s="877"/>
      <c r="AV363" s="877"/>
      <c r="AW363" s="635"/>
      <c r="AX363" s="635"/>
    </row>
    <row r="364" spans="6:50" x14ac:dyDescent="0.25">
      <c r="F364" s="648"/>
      <c r="G364" s="648"/>
      <c r="H364" s="648"/>
      <c r="I364" s="648"/>
      <c r="J364" s="647"/>
      <c r="K364" s="883"/>
      <c r="L364" s="883"/>
      <c r="M364" s="883"/>
      <c r="N364" s="883"/>
      <c r="O364" s="883"/>
      <c r="P364" s="883"/>
      <c r="Q364" s="877"/>
      <c r="R364" s="877"/>
      <c r="S364" s="877"/>
      <c r="T364" s="877"/>
      <c r="U364" s="877"/>
      <c r="V364" s="877"/>
      <c r="W364" s="877"/>
      <c r="X364" s="877"/>
      <c r="Y364" s="877"/>
      <c r="Z364" s="877"/>
      <c r="AA364" s="877"/>
      <c r="AB364" s="877"/>
      <c r="AC364" s="877"/>
      <c r="AD364" s="877"/>
      <c r="AE364" s="877"/>
      <c r="AF364" s="877"/>
      <c r="AG364" s="877"/>
      <c r="AH364" s="877"/>
      <c r="AI364" s="877"/>
      <c r="AJ364" s="877"/>
      <c r="AK364" s="877"/>
      <c r="AL364" s="877"/>
      <c r="AM364" s="877"/>
      <c r="AN364" s="877"/>
      <c r="AO364" s="877"/>
      <c r="AP364" s="877"/>
      <c r="AQ364" s="877"/>
      <c r="AR364" s="877"/>
      <c r="AS364" s="877"/>
      <c r="AT364" s="877"/>
      <c r="AU364" s="877"/>
      <c r="AV364" s="877"/>
      <c r="AW364" s="635"/>
      <c r="AX364" s="635"/>
    </row>
    <row r="365" spans="6:50" x14ac:dyDescent="0.25">
      <c r="F365" s="642"/>
      <c r="G365" s="642"/>
      <c r="H365" s="642"/>
      <c r="I365" s="642"/>
      <c r="J365" s="643"/>
      <c r="K365" s="883"/>
      <c r="L365" s="883"/>
      <c r="M365" s="883"/>
      <c r="N365" s="884"/>
      <c r="O365" s="884"/>
      <c r="P365" s="884"/>
      <c r="Q365" s="877"/>
      <c r="R365" s="877"/>
      <c r="S365" s="877"/>
      <c r="T365" s="877"/>
      <c r="U365" s="877"/>
      <c r="V365" s="877"/>
      <c r="W365" s="877"/>
      <c r="X365" s="878"/>
      <c r="Y365" s="878"/>
      <c r="Z365" s="878"/>
      <c r="AA365" s="878"/>
      <c r="AB365" s="878"/>
      <c r="AC365" s="877"/>
      <c r="AD365" s="877"/>
      <c r="AE365" s="877"/>
      <c r="AF365" s="877"/>
      <c r="AG365" s="877"/>
      <c r="AH365" s="877"/>
      <c r="AI365" s="877"/>
      <c r="AJ365" s="877"/>
      <c r="AK365" s="877"/>
      <c r="AL365" s="877"/>
      <c r="AM365" s="877"/>
      <c r="AN365" s="877"/>
      <c r="AO365" s="877"/>
      <c r="AP365" s="877"/>
      <c r="AQ365" s="877"/>
      <c r="AR365" s="877"/>
      <c r="AS365" s="877"/>
      <c r="AT365" s="877"/>
      <c r="AU365" s="877"/>
      <c r="AV365" s="877"/>
      <c r="AW365" s="644"/>
      <c r="AX365" s="645"/>
    </row>
    <row r="366" spans="6:50" x14ac:dyDescent="0.25">
      <c r="F366" s="642"/>
      <c r="G366" s="642"/>
      <c r="H366" s="642"/>
      <c r="I366" s="642"/>
      <c r="J366" s="643"/>
      <c r="K366" s="883"/>
      <c r="L366" s="883"/>
      <c r="M366" s="883"/>
      <c r="N366" s="884"/>
      <c r="O366" s="884"/>
      <c r="P366" s="884"/>
      <c r="Q366" s="877"/>
      <c r="R366" s="877"/>
      <c r="S366" s="877"/>
      <c r="T366" s="877"/>
      <c r="U366" s="877"/>
      <c r="V366" s="877"/>
      <c r="W366" s="877"/>
      <c r="X366" s="877"/>
      <c r="Y366" s="877"/>
      <c r="Z366" s="877"/>
      <c r="AA366" s="877"/>
      <c r="AB366" s="877"/>
      <c r="AC366" s="877"/>
      <c r="AD366" s="877"/>
      <c r="AE366" s="877"/>
      <c r="AF366" s="877"/>
      <c r="AG366" s="877"/>
      <c r="AH366" s="877"/>
      <c r="AI366" s="877"/>
      <c r="AJ366" s="877"/>
      <c r="AK366" s="877"/>
      <c r="AL366" s="877"/>
      <c r="AM366" s="877"/>
      <c r="AN366" s="877"/>
      <c r="AO366" s="877"/>
      <c r="AP366" s="877"/>
      <c r="AQ366" s="877"/>
      <c r="AR366" s="877"/>
      <c r="AS366" s="877"/>
      <c r="AT366" s="877"/>
      <c r="AU366" s="877"/>
      <c r="AV366" s="877"/>
      <c r="AW366" s="644"/>
      <c r="AX366" s="635"/>
    </row>
    <row r="367" spans="6:50" x14ac:dyDescent="0.25">
      <c r="F367" s="8"/>
      <c r="G367" s="8"/>
      <c r="H367" s="8"/>
      <c r="I367" s="8"/>
      <c r="J367" s="632"/>
      <c r="K367" s="633"/>
      <c r="L367" s="682"/>
      <c r="M367" s="634"/>
      <c r="N367" s="649"/>
      <c r="O367" s="635"/>
      <c r="P367" s="635"/>
      <c r="Q367" s="635"/>
      <c r="R367" s="635"/>
      <c r="S367" s="635"/>
      <c r="T367" s="635"/>
      <c r="U367" s="635"/>
      <c r="V367" s="635"/>
      <c r="W367" s="635"/>
      <c r="X367" s="635"/>
      <c r="Y367" s="635"/>
      <c r="Z367" s="635"/>
      <c r="AA367" s="635"/>
      <c r="AB367" s="635"/>
      <c r="AC367" s="635"/>
      <c r="AD367" s="635"/>
      <c r="AE367" s="635"/>
      <c r="AF367" s="635"/>
      <c r="AG367" s="635"/>
      <c r="AH367" s="635"/>
      <c r="AI367" s="635"/>
      <c r="AJ367" s="635"/>
      <c r="AK367" s="635"/>
      <c r="AL367" s="635"/>
      <c r="AM367" s="635"/>
      <c r="AN367" s="635"/>
      <c r="AO367" s="635"/>
      <c r="AP367" s="635"/>
      <c r="AQ367" s="635"/>
      <c r="AR367" s="635"/>
      <c r="AS367" s="635"/>
      <c r="AT367" s="635"/>
      <c r="AU367" s="635"/>
      <c r="AV367" s="635"/>
      <c r="AW367" s="635"/>
      <c r="AX367" s="635"/>
    </row>
    <row r="368" spans="6:50" x14ac:dyDescent="0.25">
      <c r="F368" s="129"/>
      <c r="G368" s="129"/>
      <c r="H368" s="129"/>
      <c r="I368" s="129"/>
      <c r="J368" s="142"/>
      <c r="K368" s="129"/>
      <c r="L368" s="142"/>
      <c r="M368" s="129"/>
      <c r="N368" s="129"/>
      <c r="O368" s="129"/>
      <c r="P368" s="129"/>
      <c r="Q368" s="129"/>
      <c r="R368" s="129"/>
      <c r="S368" s="129"/>
      <c r="T368" s="129"/>
      <c r="U368" s="129"/>
      <c r="V368" s="129"/>
      <c r="W368" s="129"/>
      <c r="X368" s="129"/>
      <c r="Y368" s="129"/>
      <c r="Z368" s="129"/>
      <c r="AA368" s="129"/>
      <c r="AB368" s="129"/>
      <c r="AC368" s="129"/>
      <c r="AD368" s="129"/>
      <c r="AE368" s="129"/>
      <c r="AF368" s="129"/>
      <c r="AG368" s="129"/>
      <c r="AH368" s="129"/>
      <c r="AI368" s="129"/>
      <c r="AJ368" s="129"/>
      <c r="AK368" s="129"/>
      <c r="AL368" s="129"/>
      <c r="AM368" s="129"/>
      <c r="AN368" s="129"/>
      <c r="AO368" s="129"/>
      <c r="AP368" s="129"/>
      <c r="AQ368" s="129"/>
      <c r="AR368" s="129"/>
      <c r="AS368" s="129"/>
      <c r="AT368" s="129"/>
      <c r="AU368" s="129"/>
      <c r="AV368" s="129"/>
      <c r="AW368" s="635"/>
      <c r="AX368" s="635"/>
    </row>
    <row r="369" spans="6:50" x14ac:dyDescent="0.25">
      <c r="F369" s="129"/>
      <c r="G369" s="129"/>
      <c r="H369" s="129"/>
      <c r="I369" s="129"/>
      <c r="J369" s="142"/>
      <c r="K369" s="129"/>
      <c r="L369" s="142"/>
      <c r="M369" s="129"/>
      <c r="N369" s="129"/>
      <c r="O369" s="129"/>
      <c r="P369" s="129"/>
      <c r="Q369" s="129"/>
      <c r="R369" s="129"/>
      <c r="S369" s="129"/>
      <c r="T369" s="129"/>
      <c r="U369" s="129"/>
      <c r="V369" s="129"/>
      <c r="W369" s="129"/>
      <c r="X369" s="129"/>
      <c r="Y369" s="129"/>
      <c r="Z369" s="129"/>
      <c r="AA369" s="129"/>
      <c r="AB369" s="129"/>
      <c r="AC369" s="129"/>
      <c r="AD369" s="129"/>
      <c r="AE369" s="129"/>
      <c r="AF369" s="129"/>
      <c r="AG369" s="129"/>
      <c r="AH369" s="129"/>
      <c r="AI369" s="129"/>
      <c r="AJ369" s="129"/>
      <c r="AK369" s="129"/>
      <c r="AL369" s="129"/>
      <c r="AM369" s="129"/>
      <c r="AN369" s="129"/>
      <c r="AO369" s="129"/>
      <c r="AP369" s="129"/>
      <c r="AQ369" s="129"/>
      <c r="AR369" s="129"/>
      <c r="AS369" s="129"/>
      <c r="AT369" s="129"/>
      <c r="AU369" s="129"/>
      <c r="AV369" s="129"/>
      <c r="AW369" s="635"/>
      <c r="AX369" s="635"/>
    </row>
    <row r="370" spans="6:50" x14ac:dyDescent="0.25">
      <c r="F370" s="129"/>
      <c r="G370" s="129"/>
      <c r="H370" s="129"/>
      <c r="I370" s="129"/>
      <c r="J370" s="142"/>
      <c r="K370" s="129"/>
      <c r="L370" s="142"/>
      <c r="M370" s="129"/>
      <c r="N370" s="129"/>
      <c r="O370" s="129"/>
      <c r="P370" s="129"/>
      <c r="Q370" s="129"/>
      <c r="R370" s="129"/>
      <c r="S370" s="129"/>
      <c r="T370" s="129"/>
      <c r="U370" s="129"/>
      <c r="V370" s="129"/>
      <c r="W370" s="129"/>
      <c r="X370" s="129"/>
      <c r="Y370" s="129"/>
      <c r="Z370" s="129"/>
      <c r="AA370" s="129"/>
      <c r="AB370" s="129"/>
      <c r="AC370" s="129"/>
      <c r="AD370" s="129"/>
      <c r="AE370" s="129"/>
      <c r="AF370" s="129"/>
      <c r="AG370" s="129"/>
      <c r="AH370" s="129"/>
      <c r="AI370" s="129"/>
      <c r="AJ370" s="129"/>
      <c r="AK370" s="129"/>
      <c r="AL370" s="129"/>
      <c r="AM370" s="129"/>
      <c r="AN370" s="129"/>
      <c r="AO370" s="129"/>
      <c r="AP370" s="129"/>
      <c r="AQ370" s="129"/>
      <c r="AR370" s="129"/>
      <c r="AS370" s="129"/>
      <c r="AT370" s="129"/>
      <c r="AU370" s="129"/>
      <c r="AV370" s="129"/>
      <c r="AW370" s="635"/>
      <c r="AX370" s="635"/>
    </row>
    <row r="371" spans="6:50" x14ac:dyDescent="0.25">
      <c r="F371" s="128"/>
      <c r="G371" s="128"/>
      <c r="H371" s="128"/>
      <c r="I371" s="128"/>
      <c r="J371" s="142"/>
      <c r="K371" s="129"/>
      <c r="L371" s="142"/>
      <c r="M371" s="129"/>
      <c r="N371" s="129"/>
      <c r="O371" s="129"/>
      <c r="P371" s="129"/>
      <c r="Q371" s="129"/>
      <c r="R371" s="129"/>
      <c r="S371" s="129"/>
      <c r="T371" s="129"/>
      <c r="U371" s="129"/>
      <c r="V371" s="129"/>
      <c r="W371" s="129"/>
      <c r="X371" s="129"/>
      <c r="Y371" s="129"/>
      <c r="Z371" s="129"/>
      <c r="AA371" s="129"/>
      <c r="AB371" s="129"/>
      <c r="AC371" s="129"/>
      <c r="AD371" s="129"/>
      <c r="AE371" s="129"/>
      <c r="AF371" s="129"/>
      <c r="AG371" s="129"/>
      <c r="AH371" s="129"/>
      <c r="AI371" s="129"/>
      <c r="AJ371" s="129"/>
      <c r="AK371" s="129"/>
      <c r="AL371" s="129"/>
      <c r="AM371" s="129"/>
      <c r="AN371" s="129"/>
      <c r="AO371" s="129"/>
      <c r="AP371" s="129"/>
      <c r="AQ371" s="129"/>
      <c r="AR371" s="129"/>
      <c r="AS371" s="129"/>
      <c r="AT371" s="129"/>
      <c r="AU371" s="129"/>
      <c r="AV371" s="129"/>
      <c r="AW371" s="635"/>
      <c r="AX371" s="635"/>
    </row>
    <row r="372" spans="6:50" x14ac:dyDescent="0.25">
      <c r="F372" s="8"/>
      <c r="G372" s="8"/>
      <c r="H372" s="8"/>
      <c r="I372" s="131"/>
      <c r="J372" s="650"/>
      <c r="K372" s="880"/>
      <c r="L372" s="880"/>
      <c r="M372" s="880"/>
      <c r="N372" s="880"/>
      <c r="O372" s="880"/>
      <c r="P372" s="880"/>
      <c r="Q372" s="880"/>
      <c r="R372" s="880"/>
      <c r="S372" s="880"/>
      <c r="T372" s="880"/>
      <c r="U372" s="880"/>
      <c r="V372" s="880"/>
      <c r="W372" s="880"/>
      <c r="X372" s="880"/>
      <c r="Y372" s="880"/>
      <c r="Z372" s="880"/>
      <c r="AA372" s="880"/>
      <c r="AB372" s="880"/>
      <c r="AC372" s="880"/>
      <c r="AD372" s="880"/>
      <c r="AE372" s="880"/>
      <c r="AF372" s="880"/>
      <c r="AG372" s="880"/>
      <c r="AH372" s="880"/>
      <c r="AI372" s="880"/>
      <c r="AJ372" s="880"/>
      <c r="AK372" s="880"/>
      <c r="AL372" s="880"/>
      <c r="AM372" s="880"/>
      <c r="AN372" s="880"/>
      <c r="AO372" s="880"/>
      <c r="AP372" s="880"/>
      <c r="AQ372" s="880"/>
      <c r="AR372" s="880"/>
      <c r="AS372" s="880"/>
      <c r="AT372" s="880"/>
      <c r="AU372" s="880"/>
      <c r="AV372" s="880"/>
      <c r="AW372" s="635"/>
      <c r="AX372" s="635"/>
    </row>
    <row r="373" spans="6:50" x14ac:dyDescent="0.25">
      <c r="F373" s="8"/>
      <c r="G373" s="8"/>
      <c r="H373" s="8"/>
      <c r="I373" s="131"/>
      <c r="J373" s="650"/>
      <c r="K373" s="880"/>
      <c r="L373" s="880"/>
      <c r="M373" s="880"/>
      <c r="N373" s="880"/>
      <c r="O373" s="880"/>
      <c r="P373" s="880"/>
      <c r="Q373" s="880"/>
      <c r="R373" s="880"/>
      <c r="S373" s="880"/>
      <c r="T373" s="880"/>
      <c r="U373" s="880"/>
      <c r="V373" s="880"/>
      <c r="W373" s="880"/>
      <c r="X373" s="880"/>
      <c r="Y373" s="881"/>
      <c r="Z373" s="881"/>
      <c r="AA373" s="881"/>
      <c r="AB373" s="881"/>
      <c r="AC373" s="881"/>
      <c r="AD373" s="881"/>
      <c r="AE373" s="881"/>
      <c r="AF373" s="881"/>
      <c r="AG373" s="881"/>
      <c r="AH373" s="881"/>
      <c r="AI373" s="881"/>
      <c r="AJ373" s="881"/>
      <c r="AK373" s="881"/>
      <c r="AL373" s="881"/>
      <c r="AM373" s="881"/>
      <c r="AN373" s="881"/>
      <c r="AO373" s="881"/>
      <c r="AP373" s="881"/>
      <c r="AQ373" s="881"/>
      <c r="AR373" s="881"/>
      <c r="AS373" s="881"/>
      <c r="AT373" s="881"/>
      <c r="AU373" s="881"/>
      <c r="AV373" s="881"/>
      <c r="AW373" s="635"/>
      <c r="AX373" s="635"/>
    </row>
    <row r="374" spans="6:50" x14ac:dyDescent="0.25">
      <c r="F374" s="8"/>
      <c r="G374" s="8"/>
      <c r="H374" s="8"/>
      <c r="I374" s="131"/>
      <c r="J374" s="650"/>
      <c r="K374" s="880"/>
      <c r="L374" s="880"/>
      <c r="M374" s="880"/>
      <c r="N374" s="880"/>
      <c r="O374" s="880"/>
      <c r="P374" s="880"/>
      <c r="Q374" s="880"/>
      <c r="R374" s="880"/>
      <c r="S374" s="880"/>
      <c r="T374" s="880"/>
      <c r="U374" s="880"/>
      <c r="V374" s="880"/>
      <c r="W374" s="880"/>
      <c r="X374" s="880"/>
      <c r="Y374" s="880"/>
      <c r="Z374" s="880"/>
      <c r="AA374" s="880"/>
      <c r="AB374" s="880"/>
      <c r="AC374" s="880"/>
      <c r="AD374" s="880"/>
      <c r="AE374" s="880"/>
      <c r="AF374" s="880"/>
      <c r="AG374" s="880"/>
      <c r="AH374" s="880"/>
      <c r="AI374" s="880"/>
      <c r="AJ374" s="880"/>
      <c r="AK374" s="880"/>
      <c r="AL374" s="880"/>
      <c r="AM374" s="880"/>
      <c r="AN374" s="880"/>
      <c r="AO374" s="880"/>
      <c r="AP374" s="880"/>
      <c r="AQ374" s="880"/>
      <c r="AR374" s="880"/>
      <c r="AS374" s="880"/>
      <c r="AT374" s="880"/>
      <c r="AU374" s="880"/>
      <c r="AV374" s="880"/>
      <c r="AW374" s="635"/>
      <c r="AX374" s="635"/>
    </row>
    <row r="375" spans="6:50" x14ac:dyDescent="0.25">
      <c r="F375" s="8"/>
      <c r="G375" s="8"/>
      <c r="H375" s="8"/>
      <c r="I375" s="131"/>
      <c r="J375" s="650"/>
      <c r="K375" s="880"/>
      <c r="L375" s="880"/>
      <c r="M375" s="880"/>
      <c r="N375" s="880"/>
      <c r="O375" s="880"/>
      <c r="P375" s="880"/>
      <c r="Q375" s="880"/>
      <c r="R375" s="880"/>
      <c r="S375" s="880"/>
      <c r="T375" s="880"/>
      <c r="U375" s="880"/>
      <c r="V375" s="880"/>
      <c r="W375" s="880"/>
      <c r="X375" s="880"/>
      <c r="Y375" s="880"/>
      <c r="Z375" s="880"/>
      <c r="AA375" s="880"/>
      <c r="AB375" s="880"/>
      <c r="AC375" s="880"/>
      <c r="AD375" s="880"/>
      <c r="AE375" s="880"/>
      <c r="AF375" s="880"/>
      <c r="AG375" s="880"/>
      <c r="AH375" s="880"/>
      <c r="AI375" s="880"/>
      <c r="AJ375" s="880"/>
      <c r="AK375" s="880"/>
      <c r="AL375" s="880"/>
      <c r="AM375" s="880"/>
      <c r="AN375" s="880"/>
      <c r="AO375" s="880"/>
      <c r="AP375" s="880"/>
      <c r="AQ375" s="880"/>
      <c r="AR375" s="880"/>
      <c r="AS375" s="880"/>
      <c r="AT375" s="880"/>
      <c r="AU375" s="880"/>
      <c r="AV375" s="880"/>
      <c r="AW375" s="635"/>
      <c r="AX375" s="635"/>
    </row>
    <row r="376" spans="6:50" x14ac:dyDescent="0.25">
      <c r="F376" s="8"/>
      <c r="G376" s="8"/>
      <c r="H376" s="8"/>
      <c r="I376" s="651"/>
      <c r="J376" s="652"/>
      <c r="K376" s="882"/>
      <c r="L376" s="882"/>
      <c r="M376" s="882"/>
      <c r="N376" s="882"/>
      <c r="O376" s="882"/>
      <c r="P376" s="882"/>
      <c r="Q376" s="882"/>
      <c r="R376" s="882"/>
      <c r="S376" s="882"/>
      <c r="T376" s="882"/>
      <c r="U376" s="882"/>
      <c r="V376" s="882"/>
      <c r="W376" s="882"/>
      <c r="X376" s="882"/>
      <c r="Y376" s="882"/>
      <c r="Z376" s="882"/>
      <c r="AA376" s="882"/>
      <c r="AB376" s="882"/>
      <c r="AC376" s="882"/>
      <c r="AD376" s="882"/>
      <c r="AE376" s="882"/>
      <c r="AF376" s="882"/>
      <c r="AG376" s="882"/>
      <c r="AH376" s="882"/>
      <c r="AI376" s="882"/>
      <c r="AJ376" s="882"/>
      <c r="AK376" s="882"/>
      <c r="AL376" s="882"/>
      <c r="AM376" s="882"/>
      <c r="AN376" s="882"/>
      <c r="AO376" s="879"/>
      <c r="AP376" s="879"/>
      <c r="AQ376" s="879"/>
      <c r="AR376" s="879"/>
      <c r="AS376" s="879"/>
      <c r="AT376" s="879"/>
      <c r="AU376" s="879"/>
      <c r="AV376" s="879"/>
      <c r="AW376" s="635"/>
      <c r="AX376" s="635"/>
    </row>
    <row r="377" spans="6:50" ht="15.75" customHeight="1" x14ac:dyDescent="0.25">
      <c r="F377" s="8"/>
      <c r="G377" s="8"/>
      <c r="H377" s="8"/>
      <c r="I377" s="653"/>
      <c r="J377" s="654"/>
      <c r="K377" s="877"/>
      <c r="L377" s="877"/>
      <c r="M377" s="877"/>
      <c r="N377" s="877"/>
      <c r="O377" s="877"/>
      <c r="P377" s="877"/>
      <c r="Q377" s="877"/>
      <c r="R377" s="877"/>
      <c r="S377" s="877"/>
      <c r="T377" s="877"/>
      <c r="U377" s="877"/>
      <c r="V377" s="877"/>
      <c r="W377" s="877"/>
      <c r="X377" s="877"/>
      <c r="Y377" s="877"/>
      <c r="Z377" s="877"/>
      <c r="AA377" s="877"/>
      <c r="AB377" s="877"/>
      <c r="AC377" s="877"/>
      <c r="AD377" s="877"/>
      <c r="AE377" s="877"/>
      <c r="AF377" s="877"/>
      <c r="AG377" s="877"/>
      <c r="AH377" s="877"/>
      <c r="AI377" s="877"/>
      <c r="AJ377" s="877"/>
      <c r="AK377" s="877"/>
      <c r="AL377" s="877"/>
      <c r="AM377" s="877"/>
      <c r="AN377" s="877"/>
      <c r="AO377" s="877"/>
      <c r="AP377" s="877"/>
      <c r="AQ377" s="877"/>
      <c r="AR377" s="877"/>
      <c r="AS377" s="877"/>
      <c r="AT377" s="877"/>
      <c r="AU377" s="877"/>
      <c r="AV377" s="877"/>
      <c r="AW377" s="635"/>
      <c r="AX377" s="635"/>
    </row>
    <row r="378" spans="6:50" x14ac:dyDescent="0.25">
      <c r="F378" s="8"/>
      <c r="G378" s="8"/>
      <c r="H378" s="8"/>
      <c r="I378" s="653"/>
      <c r="J378" s="654"/>
      <c r="K378" s="877"/>
      <c r="L378" s="877"/>
      <c r="M378" s="877"/>
      <c r="N378" s="877"/>
      <c r="O378" s="877"/>
      <c r="P378" s="877"/>
      <c r="Q378" s="877"/>
      <c r="R378" s="877"/>
      <c r="S378" s="877"/>
      <c r="T378" s="877"/>
      <c r="U378" s="877"/>
      <c r="V378" s="877"/>
      <c r="W378" s="877"/>
      <c r="X378" s="877"/>
      <c r="Y378" s="877"/>
      <c r="Z378" s="877"/>
      <c r="AA378" s="877"/>
      <c r="AB378" s="877"/>
      <c r="AC378" s="877"/>
      <c r="AD378" s="877"/>
      <c r="AE378" s="877"/>
      <c r="AF378" s="877"/>
      <c r="AG378" s="877"/>
      <c r="AH378" s="877"/>
      <c r="AI378" s="877"/>
      <c r="AJ378" s="877"/>
      <c r="AK378" s="877"/>
      <c r="AL378" s="877"/>
      <c r="AM378" s="877"/>
      <c r="AN378" s="877"/>
      <c r="AO378" s="877"/>
      <c r="AP378" s="877"/>
      <c r="AQ378" s="877"/>
      <c r="AR378" s="877"/>
      <c r="AS378" s="878"/>
      <c r="AT378" s="878"/>
      <c r="AU378" s="878"/>
      <c r="AV378" s="878"/>
      <c r="AW378" s="635"/>
      <c r="AX378" s="635"/>
    </row>
    <row r="379" spans="6:50" ht="15.75" customHeight="1" x14ac:dyDescent="0.25">
      <c r="F379" s="8"/>
      <c r="G379" s="8"/>
      <c r="H379" s="8"/>
      <c r="I379" s="653"/>
      <c r="J379" s="654"/>
      <c r="K379" s="877"/>
      <c r="L379" s="877"/>
      <c r="M379" s="877"/>
      <c r="N379" s="877"/>
      <c r="O379" s="877"/>
      <c r="P379" s="877"/>
      <c r="Q379" s="877"/>
      <c r="R379" s="877"/>
      <c r="S379" s="877"/>
      <c r="T379" s="877"/>
      <c r="U379" s="877"/>
      <c r="V379" s="877"/>
      <c r="W379" s="877"/>
      <c r="X379" s="877"/>
      <c r="Y379" s="877"/>
      <c r="Z379" s="877"/>
      <c r="AA379" s="877"/>
      <c r="AB379" s="877"/>
      <c r="AC379" s="877"/>
      <c r="AD379" s="877"/>
      <c r="AE379" s="877"/>
      <c r="AF379" s="877"/>
      <c r="AG379" s="877"/>
      <c r="AH379" s="877"/>
      <c r="AI379" s="877"/>
      <c r="AJ379" s="877"/>
      <c r="AK379" s="877"/>
      <c r="AL379" s="877"/>
      <c r="AM379" s="877"/>
      <c r="AN379" s="877"/>
      <c r="AO379" s="877"/>
      <c r="AP379" s="877"/>
      <c r="AQ379" s="877"/>
      <c r="AR379" s="877"/>
      <c r="AS379" s="878"/>
      <c r="AT379" s="878"/>
      <c r="AU379" s="878"/>
      <c r="AV379" s="878"/>
      <c r="AW379" s="635"/>
      <c r="AX379" s="635"/>
    </row>
    <row r="380" spans="6:50" x14ac:dyDescent="0.25">
      <c r="F380" s="8"/>
      <c r="G380" s="8"/>
      <c r="H380" s="8"/>
      <c r="I380" s="125"/>
      <c r="J380" s="655"/>
      <c r="K380" s="877"/>
      <c r="L380" s="877"/>
      <c r="M380" s="877"/>
      <c r="N380" s="877"/>
      <c r="O380" s="877"/>
      <c r="P380" s="877"/>
      <c r="Q380" s="877"/>
      <c r="R380" s="877"/>
      <c r="S380" s="877"/>
      <c r="T380" s="877"/>
      <c r="U380" s="877"/>
      <c r="V380" s="877"/>
      <c r="W380" s="877"/>
      <c r="X380" s="877"/>
      <c r="Y380" s="877"/>
      <c r="Z380" s="877"/>
      <c r="AA380" s="877"/>
      <c r="AB380" s="877"/>
      <c r="AC380" s="877"/>
      <c r="AD380" s="877"/>
      <c r="AE380" s="877"/>
      <c r="AF380" s="877"/>
      <c r="AG380" s="877"/>
      <c r="AH380" s="877"/>
      <c r="AI380" s="877"/>
      <c r="AJ380" s="877"/>
      <c r="AK380" s="877"/>
      <c r="AL380" s="877"/>
      <c r="AM380" s="877"/>
      <c r="AN380" s="877"/>
      <c r="AO380" s="877"/>
      <c r="AP380" s="877"/>
      <c r="AQ380" s="877"/>
      <c r="AR380" s="877"/>
      <c r="AS380" s="878"/>
      <c r="AT380" s="878"/>
      <c r="AU380" s="878"/>
      <c r="AV380" s="878"/>
      <c r="AW380" s="635"/>
      <c r="AX380" s="635"/>
    </row>
    <row r="381" spans="6:50" x14ac:dyDescent="0.25">
      <c r="F381" s="8"/>
      <c r="G381" s="8"/>
      <c r="H381" s="8"/>
      <c r="I381" s="125"/>
      <c r="J381" s="655"/>
      <c r="K381" s="877"/>
      <c r="L381" s="877"/>
      <c r="M381" s="877"/>
      <c r="N381" s="877"/>
      <c r="O381" s="877"/>
      <c r="P381" s="877"/>
      <c r="Q381" s="877"/>
      <c r="R381" s="877"/>
      <c r="S381" s="877"/>
      <c r="T381" s="877"/>
      <c r="U381" s="877"/>
      <c r="V381" s="877"/>
      <c r="W381" s="877"/>
      <c r="X381" s="877"/>
      <c r="Y381" s="878"/>
      <c r="Z381" s="878"/>
      <c r="AA381" s="878"/>
      <c r="AB381" s="878"/>
      <c r="AC381" s="877"/>
      <c r="AD381" s="877"/>
      <c r="AE381" s="877"/>
      <c r="AF381" s="877"/>
      <c r="AG381" s="877"/>
      <c r="AH381" s="877"/>
      <c r="AI381" s="877"/>
      <c r="AJ381" s="877"/>
      <c r="AK381" s="877"/>
      <c r="AL381" s="877"/>
      <c r="AM381" s="877"/>
      <c r="AN381" s="877"/>
      <c r="AO381" s="877"/>
      <c r="AP381" s="877"/>
      <c r="AQ381" s="877"/>
      <c r="AR381" s="877"/>
      <c r="AS381" s="878"/>
      <c r="AT381" s="878"/>
      <c r="AU381" s="878"/>
      <c r="AV381" s="878"/>
      <c r="AW381" s="635"/>
      <c r="AX381" s="635"/>
    </row>
    <row r="382" spans="6:50" x14ac:dyDescent="0.25">
      <c r="F382" s="8"/>
      <c r="G382" s="8"/>
      <c r="H382" s="8"/>
      <c r="I382" s="125"/>
      <c r="J382" s="655"/>
      <c r="K382" s="877"/>
      <c r="L382" s="877"/>
      <c r="M382" s="877"/>
      <c r="N382" s="877"/>
      <c r="O382" s="877"/>
      <c r="P382" s="877"/>
      <c r="Q382" s="877"/>
      <c r="R382" s="877"/>
      <c r="S382" s="877"/>
      <c r="T382" s="877"/>
      <c r="U382" s="877"/>
      <c r="V382" s="877"/>
      <c r="W382" s="877"/>
      <c r="X382" s="877"/>
      <c r="Y382" s="878"/>
      <c r="Z382" s="878"/>
      <c r="AA382" s="878"/>
      <c r="AB382" s="878"/>
      <c r="AC382" s="877"/>
      <c r="AD382" s="877"/>
      <c r="AE382" s="877"/>
      <c r="AF382" s="877"/>
      <c r="AG382" s="877"/>
      <c r="AH382" s="877"/>
      <c r="AI382" s="877"/>
      <c r="AJ382" s="877"/>
      <c r="AK382" s="877"/>
      <c r="AL382" s="877"/>
      <c r="AM382" s="877"/>
      <c r="AN382" s="877"/>
      <c r="AO382" s="877"/>
      <c r="AP382" s="877"/>
      <c r="AQ382" s="877"/>
      <c r="AR382" s="877"/>
      <c r="AS382" s="878"/>
      <c r="AT382" s="878"/>
      <c r="AU382" s="878"/>
      <c r="AV382" s="878"/>
      <c r="AW382" s="635"/>
      <c r="AX382" s="635"/>
    </row>
    <row r="383" spans="6:50" x14ac:dyDescent="0.25">
      <c r="F383" s="8"/>
      <c r="G383" s="8"/>
      <c r="H383" s="8"/>
      <c r="I383" s="125"/>
      <c r="J383" s="655"/>
      <c r="K383" s="877"/>
      <c r="L383" s="877"/>
      <c r="M383" s="877"/>
      <c r="N383" s="877"/>
      <c r="O383" s="877"/>
      <c r="P383" s="877"/>
      <c r="Q383" s="877"/>
      <c r="R383" s="877"/>
      <c r="S383" s="877"/>
      <c r="T383" s="877"/>
      <c r="U383" s="877"/>
      <c r="V383" s="877"/>
      <c r="W383" s="877"/>
      <c r="X383" s="877"/>
      <c r="Y383" s="878"/>
      <c r="Z383" s="878"/>
      <c r="AA383" s="878"/>
      <c r="AB383" s="878"/>
      <c r="AC383" s="877"/>
      <c r="AD383" s="877"/>
      <c r="AE383" s="877"/>
      <c r="AF383" s="877"/>
      <c r="AG383" s="877"/>
      <c r="AH383" s="877"/>
      <c r="AI383" s="877"/>
      <c r="AJ383" s="877"/>
      <c r="AK383" s="877"/>
      <c r="AL383" s="877"/>
      <c r="AM383" s="877"/>
      <c r="AN383" s="877"/>
      <c r="AO383" s="877"/>
      <c r="AP383" s="877"/>
      <c r="AQ383" s="877"/>
      <c r="AR383" s="877"/>
      <c r="AS383" s="878"/>
      <c r="AT383" s="878"/>
      <c r="AU383" s="878"/>
      <c r="AV383" s="878"/>
      <c r="AW383" s="635"/>
      <c r="AX383" s="635"/>
    </row>
    <row r="384" spans="6:50" x14ac:dyDescent="0.25">
      <c r="F384" s="8"/>
      <c r="G384" s="8"/>
      <c r="H384" s="8"/>
      <c r="I384" s="8"/>
      <c r="J384" s="632"/>
      <c r="K384" s="633"/>
      <c r="L384" s="682"/>
      <c r="M384" s="634"/>
      <c r="N384" s="635"/>
      <c r="O384" s="635"/>
      <c r="P384" s="635"/>
      <c r="Q384" s="635"/>
      <c r="R384" s="635"/>
      <c r="S384" s="635"/>
      <c r="T384" s="635"/>
      <c r="U384" s="635"/>
      <c r="V384" s="635"/>
      <c r="W384" s="635"/>
      <c r="X384" s="635"/>
      <c r="Y384" s="635"/>
      <c r="Z384" s="635"/>
      <c r="AA384" s="635"/>
      <c r="AB384" s="635"/>
      <c r="AC384" s="635"/>
      <c r="AD384" s="635"/>
      <c r="AE384" s="635"/>
      <c r="AF384" s="635"/>
      <c r="AG384" s="635"/>
      <c r="AH384" s="635"/>
      <c r="AI384" s="635"/>
      <c r="AJ384" s="635"/>
      <c r="AK384" s="635"/>
      <c r="AL384" s="635"/>
      <c r="AM384" s="635"/>
      <c r="AN384" s="635"/>
      <c r="AO384" s="635"/>
      <c r="AP384" s="635"/>
      <c r="AQ384" s="635"/>
      <c r="AR384" s="635"/>
      <c r="AS384" s="635"/>
      <c r="AT384" s="635"/>
      <c r="AU384" s="635"/>
      <c r="AV384" s="635"/>
      <c r="AW384" s="635"/>
      <c r="AX384" s="635"/>
    </row>
    <row r="385" spans="6:50" x14ac:dyDescent="0.25">
      <c r="F385" s="8"/>
      <c r="G385" s="8"/>
      <c r="H385" s="8"/>
      <c r="I385" s="8"/>
      <c r="J385" s="632"/>
      <c r="K385" s="633"/>
      <c r="L385" s="682"/>
      <c r="M385" s="634"/>
      <c r="N385" s="635"/>
      <c r="O385" s="635"/>
      <c r="P385" s="635"/>
      <c r="Q385" s="635"/>
      <c r="R385" s="635"/>
      <c r="S385" s="635"/>
      <c r="T385" s="635"/>
      <c r="U385" s="635"/>
      <c r="V385" s="635"/>
      <c r="W385" s="635"/>
      <c r="X385" s="635"/>
      <c r="Y385" s="635"/>
      <c r="Z385" s="635"/>
      <c r="AA385" s="635"/>
      <c r="AB385" s="635"/>
      <c r="AC385" s="635"/>
      <c r="AD385" s="635"/>
      <c r="AE385" s="635"/>
      <c r="AF385" s="635"/>
      <c r="AG385" s="635"/>
      <c r="AH385" s="635"/>
      <c r="AI385" s="635"/>
      <c r="AJ385" s="635"/>
      <c r="AK385" s="635"/>
      <c r="AL385" s="635"/>
      <c r="AM385" s="635"/>
      <c r="AN385" s="635"/>
      <c r="AO385" s="635"/>
      <c r="AP385" s="635"/>
      <c r="AQ385" s="635"/>
      <c r="AR385" s="635"/>
      <c r="AS385" s="635"/>
      <c r="AT385" s="635"/>
      <c r="AU385" s="635"/>
      <c r="AV385" s="635"/>
      <c r="AW385" s="635"/>
      <c r="AX385" s="635"/>
    </row>
    <row r="386" spans="6:50" x14ac:dyDescent="0.25">
      <c r="F386" s="8"/>
      <c r="G386" s="8"/>
      <c r="H386" s="8"/>
      <c r="I386" s="8"/>
      <c r="J386" s="632"/>
      <c r="K386" s="633"/>
      <c r="L386" s="682"/>
      <c r="M386" s="634"/>
      <c r="N386" s="635"/>
      <c r="O386" s="635"/>
      <c r="P386" s="635"/>
      <c r="Q386" s="635"/>
      <c r="R386" s="635"/>
      <c r="S386" s="635"/>
      <c r="T386" s="635"/>
      <c r="U386" s="635"/>
      <c r="V386" s="635"/>
      <c r="W386" s="635"/>
      <c r="X386" s="635"/>
      <c r="Y386" s="635"/>
      <c r="Z386" s="635"/>
      <c r="AA386" s="635"/>
      <c r="AB386" s="635"/>
      <c r="AC386" s="635"/>
      <c r="AD386" s="635"/>
      <c r="AE386" s="635"/>
      <c r="AF386" s="635"/>
      <c r="AG386" s="635"/>
      <c r="AH386" s="635"/>
      <c r="AI386" s="635"/>
      <c r="AJ386" s="635"/>
      <c r="AK386" s="635"/>
      <c r="AL386" s="635"/>
      <c r="AM386" s="635"/>
      <c r="AN386" s="635"/>
      <c r="AO386" s="635"/>
      <c r="AP386" s="635"/>
      <c r="AQ386" s="635"/>
      <c r="AR386" s="635"/>
      <c r="AS386" s="635"/>
      <c r="AT386" s="635"/>
      <c r="AU386" s="635"/>
      <c r="AV386" s="635"/>
      <c r="AW386" s="635"/>
      <c r="AX386" s="635"/>
    </row>
    <row r="387" spans="6:50" x14ac:dyDescent="0.25">
      <c r="F387" s="8"/>
      <c r="G387" s="8"/>
      <c r="H387" s="8"/>
      <c r="I387" s="8"/>
      <c r="J387" s="632"/>
      <c r="K387" s="633"/>
      <c r="L387" s="682"/>
      <c r="M387" s="634"/>
      <c r="N387" s="635"/>
      <c r="O387" s="635"/>
      <c r="P387" s="635"/>
      <c r="Q387" s="635"/>
      <c r="R387" s="635"/>
      <c r="S387" s="635"/>
      <c r="T387" s="635"/>
      <c r="U387" s="635"/>
      <c r="V387" s="635"/>
      <c r="W387" s="635"/>
      <c r="X387" s="635"/>
      <c r="Y387" s="635"/>
      <c r="Z387" s="635"/>
      <c r="AA387" s="635"/>
      <c r="AB387" s="635"/>
      <c r="AC387" s="635"/>
      <c r="AD387" s="635"/>
      <c r="AE387" s="635"/>
      <c r="AF387" s="635"/>
      <c r="AG387" s="635"/>
      <c r="AH387" s="635"/>
      <c r="AI387" s="635"/>
      <c r="AJ387" s="635"/>
      <c r="AK387" s="635"/>
      <c r="AL387" s="635"/>
      <c r="AM387" s="635"/>
      <c r="AN387" s="635"/>
      <c r="AO387" s="635"/>
      <c r="AP387" s="635"/>
      <c r="AQ387" s="635"/>
      <c r="AR387" s="635"/>
      <c r="AS387" s="635"/>
      <c r="AT387" s="635"/>
      <c r="AU387" s="635"/>
      <c r="AV387" s="635"/>
      <c r="AW387" s="635"/>
      <c r="AX387" s="635"/>
    </row>
    <row r="388" spans="6:50" x14ac:dyDescent="0.25">
      <c r="F388" s="8"/>
      <c r="G388" s="8"/>
      <c r="H388" s="8"/>
      <c r="I388" s="8"/>
      <c r="J388" s="632"/>
      <c r="K388" s="633"/>
      <c r="L388" s="682"/>
      <c r="M388" s="634"/>
      <c r="N388" s="635"/>
      <c r="O388" s="635"/>
      <c r="P388" s="635"/>
      <c r="Q388" s="635"/>
      <c r="R388" s="635"/>
      <c r="S388" s="635"/>
      <c r="T388" s="635"/>
      <c r="U388" s="635"/>
      <c r="V388" s="635"/>
      <c r="W388" s="635"/>
      <c r="X388" s="635"/>
      <c r="Y388" s="635"/>
      <c r="Z388" s="635"/>
      <c r="AA388" s="635"/>
      <c r="AB388" s="635"/>
      <c r="AC388" s="635"/>
      <c r="AD388" s="635"/>
      <c r="AE388" s="635"/>
      <c r="AF388" s="635"/>
      <c r="AG388" s="635"/>
      <c r="AH388" s="635"/>
      <c r="AI388" s="635"/>
      <c r="AJ388" s="635"/>
      <c r="AK388" s="635"/>
      <c r="AL388" s="635"/>
      <c r="AM388" s="635"/>
      <c r="AN388" s="635"/>
      <c r="AO388" s="635"/>
      <c r="AP388" s="635"/>
      <c r="AQ388" s="635"/>
      <c r="AR388" s="635"/>
      <c r="AS388" s="635"/>
      <c r="AT388" s="635"/>
      <c r="AU388" s="635"/>
      <c r="AV388" s="635"/>
      <c r="AW388" s="635"/>
      <c r="AX388" s="635"/>
    </row>
    <row r="389" spans="6:50" x14ac:dyDescent="0.25">
      <c r="F389" s="8"/>
      <c r="G389" s="8"/>
      <c r="H389" s="8"/>
      <c r="I389" s="8"/>
      <c r="J389" s="632"/>
      <c r="K389" s="633"/>
      <c r="L389" s="682"/>
      <c r="M389" s="634"/>
      <c r="N389" s="635"/>
      <c r="O389" s="635"/>
      <c r="P389" s="635"/>
      <c r="Q389" s="635"/>
      <c r="R389" s="635"/>
      <c r="S389" s="635"/>
      <c r="T389" s="635"/>
      <c r="U389" s="635"/>
      <c r="V389" s="635"/>
      <c r="W389" s="635"/>
      <c r="X389" s="635"/>
      <c r="Y389" s="635"/>
      <c r="Z389" s="635"/>
      <c r="AA389" s="635"/>
      <c r="AB389" s="635"/>
      <c r="AC389" s="635"/>
      <c r="AD389" s="635"/>
      <c r="AE389" s="635"/>
      <c r="AF389" s="635"/>
      <c r="AG389" s="635"/>
      <c r="AH389" s="635"/>
      <c r="AI389" s="635"/>
      <c r="AJ389" s="635"/>
      <c r="AK389" s="635"/>
      <c r="AL389" s="635"/>
      <c r="AM389" s="635"/>
      <c r="AN389" s="635"/>
      <c r="AO389" s="635"/>
      <c r="AP389" s="635"/>
      <c r="AQ389" s="635"/>
      <c r="AR389" s="635"/>
      <c r="AS389" s="635"/>
      <c r="AT389" s="635"/>
      <c r="AU389" s="635"/>
      <c r="AV389" s="635"/>
      <c r="AW389" s="635"/>
      <c r="AX389" s="635"/>
    </row>
    <row r="390" spans="6:50" x14ac:dyDescent="0.25">
      <c r="F390" s="8"/>
      <c r="G390" s="8"/>
      <c r="H390" s="8"/>
      <c r="I390" s="8"/>
      <c r="J390" s="632"/>
      <c r="K390" s="633"/>
      <c r="L390" s="682"/>
      <c r="M390" s="634"/>
      <c r="N390" s="635"/>
      <c r="O390" s="635"/>
      <c r="P390" s="635"/>
      <c r="Q390" s="635"/>
      <c r="R390" s="635"/>
      <c r="S390" s="635"/>
      <c r="T390" s="635"/>
      <c r="U390" s="635"/>
      <c r="V390" s="635"/>
      <c r="W390" s="635"/>
      <c r="X390" s="635"/>
      <c r="Y390" s="635"/>
      <c r="Z390" s="635"/>
      <c r="AA390" s="635"/>
      <c r="AB390" s="635"/>
      <c r="AC390" s="635"/>
      <c r="AD390" s="635"/>
      <c r="AE390" s="635"/>
      <c r="AF390" s="635"/>
      <c r="AG390" s="635"/>
      <c r="AH390" s="635"/>
      <c r="AI390" s="635"/>
      <c r="AJ390" s="635"/>
      <c r="AK390" s="635"/>
      <c r="AL390" s="635"/>
      <c r="AM390" s="635"/>
      <c r="AN390" s="635"/>
      <c r="AO390" s="635"/>
      <c r="AP390" s="635"/>
      <c r="AQ390" s="635"/>
      <c r="AR390" s="635"/>
      <c r="AS390" s="635"/>
      <c r="AT390" s="635"/>
      <c r="AU390" s="635"/>
      <c r="AV390" s="635"/>
      <c r="AW390" s="635"/>
      <c r="AX390" s="635"/>
    </row>
    <row r="391" spans="6:50" x14ac:dyDescent="0.25">
      <c r="F391" s="8"/>
      <c r="G391" s="8"/>
      <c r="H391" s="8"/>
      <c r="I391" s="8"/>
      <c r="J391" s="632"/>
      <c r="K391" s="633"/>
      <c r="L391" s="682"/>
      <c r="M391" s="634"/>
      <c r="N391" s="635"/>
      <c r="O391" s="635"/>
      <c r="P391" s="635"/>
      <c r="Q391" s="635"/>
      <c r="R391" s="635"/>
      <c r="S391" s="635"/>
      <c r="T391" s="635"/>
      <c r="U391" s="635"/>
      <c r="V391" s="635"/>
      <c r="W391" s="635"/>
      <c r="X391" s="635"/>
      <c r="Y391" s="635"/>
      <c r="Z391" s="635"/>
      <c r="AA391" s="635"/>
      <c r="AB391" s="635"/>
      <c r="AC391" s="635"/>
      <c r="AD391" s="635"/>
      <c r="AE391" s="635"/>
      <c r="AF391" s="635"/>
      <c r="AG391" s="635"/>
      <c r="AH391" s="635"/>
      <c r="AI391" s="635"/>
      <c r="AJ391" s="635"/>
      <c r="AK391" s="635"/>
      <c r="AL391" s="635"/>
      <c r="AM391" s="635"/>
      <c r="AN391" s="635"/>
      <c r="AO391" s="635"/>
      <c r="AP391" s="635"/>
      <c r="AQ391" s="635"/>
      <c r="AR391" s="635"/>
      <c r="AS391" s="635"/>
      <c r="AT391" s="635"/>
      <c r="AU391" s="635"/>
      <c r="AV391" s="635"/>
      <c r="AW391" s="635"/>
      <c r="AX391" s="635"/>
    </row>
  </sheetData>
  <mergeCells count="541">
    <mergeCell ref="J6:L6"/>
    <mergeCell ref="J9:L9"/>
    <mergeCell ref="J15:L15"/>
    <mergeCell ref="M59:AF60"/>
    <mergeCell ref="M133:AI133"/>
    <mergeCell ref="M158:AI158"/>
    <mergeCell ref="M160:AI160"/>
    <mergeCell ref="E252:E253"/>
    <mergeCell ref="B252:B253"/>
    <mergeCell ref="C33:D33"/>
    <mergeCell ref="C291:D291"/>
    <mergeCell ref="E291:F291"/>
    <mergeCell ref="H41:H42"/>
    <mergeCell ref="I41:I42"/>
    <mergeCell ref="C56:C57"/>
    <mergeCell ref="D56:D57"/>
    <mergeCell ref="G21:H21"/>
    <mergeCell ref="C292:D292"/>
    <mergeCell ref="E292:F292"/>
    <mergeCell ref="C288:D288"/>
    <mergeCell ref="C289:D289"/>
    <mergeCell ref="B27:I27"/>
    <mergeCell ref="B28:I28"/>
    <mergeCell ref="H33:H34"/>
    <mergeCell ref="I33:I34"/>
    <mergeCell ref="G35:H36"/>
    <mergeCell ref="I35:I36"/>
    <mergeCell ref="C36:F36"/>
    <mergeCell ref="C37:F37"/>
    <mergeCell ref="H37:H38"/>
    <mergeCell ref="I37:I38"/>
    <mergeCell ref="A252:A253"/>
    <mergeCell ref="C252:C253"/>
    <mergeCell ref="D252:D253"/>
    <mergeCell ref="H43:H45"/>
    <mergeCell ref="H46:H47"/>
    <mergeCell ref="B43:F43"/>
    <mergeCell ref="E56:E57"/>
    <mergeCell ref="F56:I56"/>
    <mergeCell ref="G5:I5"/>
    <mergeCell ref="G6:I6"/>
    <mergeCell ref="G7:I7"/>
    <mergeCell ref="G9:I9"/>
    <mergeCell ref="G10:I10"/>
    <mergeCell ref="G12:H12"/>
    <mergeCell ref="G14:I14"/>
    <mergeCell ref="G15:I15"/>
    <mergeCell ref="G16:I16"/>
    <mergeCell ref="G18:I18"/>
    <mergeCell ref="G19:I19"/>
    <mergeCell ref="G39:H40"/>
    <mergeCell ref="I39:I40"/>
    <mergeCell ref="I43:I45"/>
    <mergeCell ref="I46:I47"/>
    <mergeCell ref="B56:B57"/>
    <mergeCell ref="AC310:AF310"/>
    <mergeCell ref="AG310:AJ310"/>
    <mergeCell ref="AK310:AN310"/>
    <mergeCell ref="AO310:AR310"/>
    <mergeCell ref="AS310:AV310"/>
    <mergeCell ref="K310:M310"/>
    <mergeCell ref="N310:P310"/>
    <mergeCell ref="Q310:W310"/>
    <mergeCell ref="X310:AB310"/>
    <mergeCell ref="AQ303:AV303"/>
    <mergeCell ref="K306:M309"/>
    <mergeCell ref="N306:P309"/>
    <mergeCell ref="Q306:AV306"/>
    <mergeCell ref="Q307:W309"/>
    <mergeCell ref="X307:AV307"/>
    <mergeCell ref="X308:AB309"/>
    <mergeCell ref="AC308:AF309"/>
    <mergeCell ref="AG308:AJ309"/>
    <mergeCell ref="AK308:AN309"/>
    <mergeCell ref="AO308:AV308"/>
    <mergeCell ref="AO309:AR309"/>
    <mergeCell ref="AS309:AV309"/>
    <mergeCell ref="K312:M312"/>
    <mergeCell ref="N312:P312"/>
    <mergeCell ref="Q312:W312"/>
    <mergeCell ref="X312:AB312"/>
    <mergeCell ref="AC312:AF312"/>
    <mergeCell ref="AG312:AJ312"/>
    <mergeCell ref="AK312:AN312"/>
    <mergeCell ref="AO312:AR312"/>
    <mergeCell ref="AS312:AV312"/>
    <mergeCell ref="AC313:AF314"/>
    <mergeCell ref="AG313:AJ314"/>
    <mergeCell ref="AK313:AN314"/>
    <mergeCell ref="AO313:AR314"/>
    <mergeCell ref="AS313:AV314"/>
    <mergeCell ref="K313:M314"/>
    <mergeCell ref="N313:P314"/>
    <mergeCell ref="Q313:W314"/>
    <mergeCell ref="X313:AB314"/>
    <mergeCell ref="AC315:AF315"/>
    <mergeCell ref="AG315:AJ315"/>
    <mergeCell ref="AK315:AN315"/>
    <mergeCell ref="AO315:AR315"/>
    <mergeCell ref="AS315:AV315"/>
    <mergeCell ref="K315:M315"/>
    <mergeCell ref="N315:P315"/>
    <mergeCell ref="Q315:W315"/>
    <mergeCell ref="X315:AB315"/>
    <mergeCell ref="AC316:AF316"/>
    <mergeCell ref="AG316:AJ316"/>
    <mergeCell ref="AK316:AN316"/>
    <mergeCell ref="AO316:AR316"/>
    <mergeCell ref="AS316:AV316"/>
    <mergeCell ref="K316:M316"/>
    <mergeCell ref="N316:P316"/>
    <mergeCell ref="Q316:W316"/>
    <mergeCell ref="X316:AB316"/>
    <mergeCell ref="AC317:AF317"/>
    <mergeCell ref="AG317:AJ317"/>
    <mergeCell ref="AK317:AN317"/>
    <mergeCell ref="AO317:AR317"/>
    <mergeCell ref="AS317:AV317"/>
    <mergeCell ref="K317:M317"/>
    <mergeCell ref="N317:P317"/>
    <mergeCell ref="Q317:W317"/>
    <mergeCell ref="X317:AB317"/>
    <mergeCell ref="AC318:AF318"/>
    <mergeCell ref="AG318:AJ318"/>
    <mergeCell ref="AK318:AN318"/>
    <mergeCell ref="AO318:AR318"/>
    <mergeCell ref="AS318:AV318"/>
    <mergeCell ref="K318:M318"/>
    <mergeCell ref="N318:P318"/>
    <mergeCell ref="Q318:W318"/>
    <mergeCell ref="X318:AB318"/>
    <mergeCell ref="AC319:AF319"/>
    <mergeCell ref="AG319:AJ319"/>
    <mergeCell ref="AK319:AN319"/>
    <mergeCell ref="AO319:AR319"/>
    <mergeCell ref="AS319:AV319"/>
    <mergeCell ref="K319:M319"/>
    <mergeCell ref="N319:P319"/>
    <mergeCell ref="Q319:W319"/>
    <mergeCell ref="X319:AB319"/>
    <mergeCell ref="AC320:AF320"/>
    <mergeCell ref="AG320:AJ320"/>
    <mergeCell ref="AK320:AN320"/>
    <mergeCell ref="AO320:AR320"/>
    <mergeCell ref="AS320:AV320"/>
    <mergeCell ref="K320:M320"/>
    <mergeCell ref="N320:P320"/>
    <mergeCell ref="Q320:W320"/>
    <mergeCell ref="X320:AB320"/>
    <mergeCell ref="AC321:AF322"/>
    <mergeCell ref="AG321:AJ322"/>
    <mergeCell ref="AK321:AN322"/>
    <mergeCell ref="AO321:AR322"/>
    <mergeCell ref="AS321:AV322"/>
    <mergeCell ref="K321:M322"/>
    <mergeCell ref="N321:P322"/>
    <mergeCell ref="Q321:W322"/>
    <mergeCell ref="X321:AB322"/>
    <mergeCell ref="AC323:AF323"/>
    <mergeCell ref="AG323:AJ323"/>
    <mergeCell ref="AK323:AN323"/>
    <mergeCell ref="AO323:AR323"/>
    <mergeCell ref="AS323:AV323"/>
    <mergeCell ref="K323:M323"/>
    <mergeCell ref="N323:P323"/>
    <mergeCell ref="Q323:W323"/>
    <mergeCell ref="X323:AB323"/>
    <mergeCell ref="AC324:AF324"/>
    <mergeCell ref="AG324:AJ324"/>
    <mergeCell ref="AK324:AN324"/>
    <mergeCell ref="AO324:AR324"/>
    <mergeCell ref="AS324:AV324"/>
    <mergeCell ref="K324:M324"/>
    <mergeCell ref="N324:P324"/>
    <mergeCell ref="Q324:W324"/>
    <mergeCell ref="X324:AB324"/>
    <mergeCell ref="AC325:AF326"/>
    <mergeCell ref="AG325:AJ326"/>
    <mergeCell ref="AK325:AN326"/>
    <mergeCell ref="AO325:AR326"/>
    <mergeCell ref="AS325:AV326"/>
    <mergeCell ref="K325:M326"/>
    <mergeCell ref="N325:P326"/>
    <mergeCell ref="Q325:W326"/>
    <mergeCell ref="X325:AB326"/>
    <mergeCell ref="AC327:AF328"/>
    <mergeCell ref="AG327:AJ328"/>
    <mergeCell ref="AK327:AN328"/>
    <mergeCell ref="AO327:AR328"/>
    <mergeCell ref="AS327:AV328"/>
    <mergeCell ref="K327:M328"/>
    <mergeCell ref="N327:P328"/>
    <mergeCell ref="Q327:W328"/>
    <mergeCell ref="X327:AB328"/>
    <mergeCell ref="AC329:AF330"/>
    <mergeCell ref="AG329:AJ330"/>
    <mergeCell ref="AK329:AN330"/>
    <mergeCell ref="AO329:AR330"/>
    <mergeCell ref="AS329:AV330"/>
    <mergeCell ref="K329:M330"/>
    <mergeCell ref="N329:P330"/>
    <mergeCell ref="Q329:W330"/>
    <mergeCell ref="X329:AB330"/>
    <mergeCell ref="AC331:AF331"/>
    <mergeCell ref="AG331:AJ331"/>
    <mergeCell ref="AK331:AN331"/>
    <mergeCell ref="AO331:AR331"/>
    <mergeCell ref="AS331:AV331"/>
    <mergeCell ref="K331:M331"/>
    <mergeCell ref="N331:P331"/>
    <mergeCell ref="Q331:W331"/>
    <mergeCell ref="X331:AB331"/>
    <mergeCell ref="AC332:AF332"/>
    <mergeCell ref="AG332:AJ332"/>
    <mergeCell ref="AK332:AN332"/>
    <mergeCell ref="AO332:AR332"/>
    <mergeCell ref="AS332:AV332"/>
    <mergeCell ref="K332:M332"/>
    <mergeCell ref="N332:P332"/>
    <mergeCell ref="Q332:W332"/>
    <mergeCell ref="X332:AB332"/>
    <mergeCell ref="AC333:AF333"/>
    <mergeCell ref="AG333:AJ333"/>
    <mergeCell ref="AK333:AN333"/>
    <mergeCell ref="AO333:AR333"/>
    <mergeCell ref="AS333:AV333"/>
    <mergeCell ref="K333:M333"/>
    <mergeCell ref="N333:P333"/>
    <mergeCell ref="Q333:W333"/>
    <mergeCell ref="X333:AB333"/>
    <mergeCell ref="AC334:AF334"/>
    <mergeCell ref="AG334:AJ334"/>
    <mergeCell ref="AK334:AN334"/>
    <mergeCell ref="AO334:AR334"/>
    <mergeCell ref="AS334:AV334"/>
    <mergeCell ref="K334:M334"/>
    <mergeCell ref="N334:P334"/>
    <mergeCell ref="Q334:W334"/>
    <mergeCell ref="X334:AB334"/>
    <mergeCell ref="AC335:AF336"/>
    <mergeCell ref="AG335:AJ336"/>
    <mergeCell ref="AK335:AN336"/>
    <mergeCell ref="AO335:AR336"/>
    <mergeCell ref="AS335:AV336"/>
    <mergeCell ref="K335:M336"/>
    <mergeCell ref="N335:P336"/>
    <mergeCell ref="Q335:W336"/>
    <mergeCell ref="X335:AB336"/>
    <mergeCell ref="AC337:AF337"/>
    <mergeCell ref="AG337:AJ337"/>
    <mergeCell ref="AK337:AN337"/>
    <mergeCell ref="AO337:AR337"/>
    <mergeCell ref="AS337:AV337"/>
    <mergeCell ref="K337:M337"/>
    <mergeCell ref="N337:P337"/>
    <mergeCell ref="Q337:W337"/>
    <mergeCell ref="X337:AB337"/>
    <mergeCell ref="AC338:AF338"/>
    <mergeCell ref="AG338:AJ338"/>
    <mergeCell ref="AK338:AN338"/>
    <mergeCell ref="AO338:AR338"/>
    <mergeCell ref="AS338:AV338"/>
    <mergeCell ref="K338:M338"/>
    <mergeCell ref="N338:P338"/>
    <mergeCell ref="Q338:W338"/>
    <mergeCell ref="X338:AB338"/>
    <mergeCell ref="AC339:AF339"/>
    <mergeCell ref="AG339:AJ339"/>
    <mergeCell ref="AK339:AN339"/>
    <mergeCell ref="AO339:AR339"/>
    <mergeCell ref="AS339:AV339"/>
    <mergeCell ref="K339:M339"/>
    <mergeCell ref="N339:P339"/>
    <mergeCell ref="Q339:W339"/>
    <mergeCell ref="X339:AB339"/>
    <mergeCell ref="AC340:AF340"/>
    <mergeCell ref="AG340:AJ340"/>
    <mergeCell ref="AK340:AN340"/>
    <mergeCell ref="AO340:AR340"/>
    <mergeCell ref="AS340:AV340"/>
    <mergeCell ref="K340:M340"/>
    <mergeCell ref="N340:P340"/>
    <mergeCell ref="Q340:W340"/>
    <mergeCell ref="X340:AB340"/>
    <mergeCell ref="AC341:AF342"/>
    <mergeCell ref="AG341:AJ342"/>
    <mergeCell ref="AK341:AN342"/>
    <mergeCell ref="AO341:AR342"/>
    <mergeCell ref="AS341:AV342"/>
    <mergeCell ref="K341:M342"/>
    <mergeCell ref="N341:P342"/>
    <mergeCell ref="Q341:W342"/>
    <mergeCell ref="X341:AB342"/>
    <mergeCell ref="AC343:AF343"/>
    <mergeCell ref="AG343:AJ343"/>
    <mergeCell ref="AK343:AN343"/>
    <mergeCell ref="AO343:AR343"/>
    <mergeCell ref="AS343:AV343"/>
    <mergeCell ref="K343:M343"/>
    <mergeCell ref="N343:P343"/>
    <mergeCell ref="Q343:W343"/>
    <mergeCell ref="X343:AB343"/>
    <mergeCell ref="AC344:AF344"/>
    <mergeCell ref="AG344:AJ344"/>
    <mergeCell ref="AK344:AN344"/>
    <mergeCell ref="AO344:AR344"/>
    <mergeCell ref="AS344:AV344"/>
    <mergeCell ref="K344:M344"/>
    <mergeCell ref="N344:P344"/>
    <mergeCell ref="Q344:W344"/>
    <mergeCell ref="X344:AB344"/>
    <mergeCell ref="AC345:AF345"/>
    <mergeCell ref="AG345:AJ345"/>
    <mergeCell ref="AK345:AN345"/>
    <mergeCell ref="AO345:AR345"/>
    <mergeCell ref="AS345:AV345"/>
    <mergeCell ref="K345:M345"/>
    <mergeCell ref="N345:P345"/>
    <mergeCell ref="Q345:W345"/>
    <mergeCell ref="X345:AB345"/>
    <mergeCell ref="AC346:AF346"/>
    <mergeCell ref="AG346:AJ346"/>
    <mergeCell ref="AK346:AN346"/>
    <mergeCell ref="AO346:AR346"/>
    <mergeCell ref="AS346:AV346"/>
    <mergeCell ref="K346:M346"/>
    <mergeCell ref="N346:P346"/>
    <mergeCell ref="Q346:W346"/>
    <mergeCell ref="X346:AB346"/>
    <mergeCell ref="AC347:AF348"/>
    <mergeCell ref="AG347:AJ348"/>
    <mergeCell ref="AK347:AN348"/>
    <mergeCell ref="AO347:AR348"/>
    <mergeCell ref="AS347:AV348"/>
    <mergeCell ref="K347:M348"/>
    <mergeCell ref="N347:P348"/>
    <mergeCell ref="Q347:W348"/>
    <mergeCell ref="X347:AB348"/>
    <mergeCell ref="AC349:AF349"/>
    <mergeCell ref="AG349:AJ349"/>
    <mergeCell ref="AK349:AN349"/>
    <mergeCell ref="AO349:AR349"/>
    <mergeCell ref="AS349:AV349"/>
    <mergeCell ref="K349:M349"/>
    <mergeCell ref="N349:P349"/>
    <mergeCell ref="Q349:W349"/>
    <mergeCell ref="X349:AB349"/>
    <mergeCell ref="AC350:AF350"/>
    <mergeCell ref="AG350:AJ350"/>
    <mergeCell ref="AK350:AN350"/>
    <mergeCell ref="AO350:AR350"/>
    <mergeCell ref="AS350:AV350"/>
    <mergeCell ref="K350:M350"/>
    <mergeCell ref="N350:P350"/>
    <mergeCell ref="Q350:W350"/>
    <mergeCell ref="X350:AB350"/>
    <mergeCell ref="AC351:AF351"/>
    <mergeCell ref="AG351:AJ351"/>
    <mergeCell ref="AK351:AN351"/>
    <mergeCell ref="AO351:AR351"/>
    <mergeCell ref="AS351:AV351"/>
    <mergeCell ref="K351:M351"/>
    <mergeCell ref="N351:P351"/>
    <mergeCell ref="Q351:W351"/>
    <mergeCell ref="X351:AB351"/>
    <mergeCell ref="AC352:AF353"/>
    <mergeCell ref="AG352:AJ353"/>
    <mergeCell ref="AK352:AN353"/>
    <mergeCell ref="AO352:AR353"/>
    <mergeCell ref="AS352:AV353"/>
    <mergeCell ref="K352:M353"/>
    <mergeCell ref="N352:P353"/>
    <mergeCell ref="Q352:W353"/>
    <mergeCell ref="X352:AB353"/>
    <mergeCell ref="AC354:AF354"/>
    <mergeCell ref="AG354:AJ354"/>
    <mergeCell ref="AK354:AN354"/>
    <mergeCell ref="AO354:AR354"/>
    <mergeCell ref="AS354:AV354"/>
    <mergeCell ref="K354:M354"/>
    <mergeCell ref="N354:P354"/>
    <mergeCell ref="Q354:W354"/>
    <mergeCell ref="X354:AB354"/>
    <mergeCell ref="AC355:AF356"/>
    <mergeCell ref="AG355:AJ356"/>
    <mergeCell ref="AK355:AN356"/>
    <mergeCell ref="AO355:AR356"/>
    <mergeCell ref="AS355:AV356"/>
    <mergeCell ref="K355:M356"/>
    <mergeCell ref="N355:P356"/>
    <mergeCell ref="Q355:W356"/>
    <mergeCell ref="X355:AB356"/>
    <mergeCell ref="AC357:AF358"/>
    <mergeCell ref="AG357:AJ358"/>
    <mergeCell ref="AK357:AN358"/>
    <mergeCell ref="AO357:AR358"/>
    <mergeCell ref="AS357:AV358"/>
    <mergeCell ref="K357:M358"/>
    <mergeCell ref="N357:P358"/>
    <mergeCell ref="Q357:W358"/>
    <mergeCell ref="X357:AB358"/>
    <mergeCell ref="AC359:AF359"/>
    <mergeCell ref="AG359:AJ359"/>
    <mergeCell ref="AK359:AN359"/>
    <mergeCell ref="AO359:AR359"/>
    <mergeCell ref="AS359:AV359"/>
    <mergeCell ref="K359:M359"/>
    <mergeCell ref="N359:P359"/>
    <mergeCell ref="Q359:W359"/>
    <mergeCell ref="X359:AB359"/>
    <mergeCell ref="AC360:AF360"/>
    <mergeCell ref="AG360:AJ360"/>
    <mergeCell ref="AK360:AN360"/>
    <mergeCell ref="AO360:AR360"/>
    <mergeCell ref="AS360:AV360"/>
    <mergeCell ref="K360:M360"/>
    <mergeCell ref="N360:P360"/>
    <mergeCell ref="Q360:W360"/>
    <mergeCell ref="X360:AB360"/>
    <mergeCell ref="AC361:AF362"/>
    <mergeCell ref="AG361:AJ362"/>
    <mergeCell ref="AK361:AN362"/>
    <mergeCell ref="AO361:AR362"/>
    <mergeCell ref="AS361:AV362"/>
    <mergeCell ref="K361:M362"/>
    <mergeCell ref="N361:P362"/>
    <mergeCell ref="Q361:W362"/>
    <mergeCell ref="X361:AB362"/>
    <mergeCell ref="AC363:AF363"/>
    <mergeCell ref="AG363:AJ363"/>
    <mergeCell ref="AK363:AN363"/>
    <mergeCell ref="AO363:AR363"/>
    <mergeCell ref="AS363:AV363"/>
    <mergeCell ref="K363:M363"/>
    <mergeCell ref="N363:P363"/>
    <mergeCell ref="Q363:W363"/>
    <mergeCell ref="X363:AB363"/>
    <mergeCell ref="AC364:AF364"/>
    <mergeCell ref="AG364:AJ364"/>
    <mergeCell ref="AK364:AN364"/>
    <mergeCell ref="AO364:AR364"/>
    <mergeCell ref="AS364:AV364"/>
    <mergeCell ref="K364:M364"/>
    <mergeCell ref="N364:P364"/>
    <mergeCell ref="Q364:W364"/>
    <mergeCell ref="X364:AB364"/>
    <mergeCell ref="AC366:AF366"/>
    <mergeCell ref="AG366:AJ366"/>
    <mergeCell ref="AK366:AN366"/>
    <mergeCell ref="AO366:AR366"/>
    <mergeCell ref="AS366:AV366"/>
    <mergeCell ref="K366:M366"/>
    <mergeCell ref="N366:P366"/>
    <mergeCell ref="Q366:W366"/>
    <mergeCell ref="X366:AB366"/>
    <mergeCell ref="AC365:AF365"/>
    <mergeCell ref="AG365:AJ365"/>
    <mergeCell ref="AK365:AN365"/>
    <mergeCell ref="AO365:AR365"/>
    <mergeCell ref="AS365:AV365"/>
    <mergeCell ref="K365:M365"/>
    <mergeCell ref="N365:P365"/>
    <mergeCell ref="Q365:W365"/>
    <mergeCell ref="X365:AB365"/>
    <mergeCell ref="AS376:AV376"/>
    <mergeCell ref="K372:AV372"/>
    <mergeCell ref="K373:X374"/>
    <mergeCell ref="Y373:AV373"/>
    <mergeCell ref="Y374:AJ374"/>
    <mergeCell ref="AK374:AV374"/>
    <mergeCell ref="K375:N375"/>
    <mergeCell ref="O375:T375"/>
    <mergeCell ref="U375:X375"/>
    <mergeCell ref="Y375:AB375"/>
    <mergeCell ref="K376:N376"/>
    <mergeCell ref="O376:T376"/>
    <mergeCell ref="U376:X376"/>
    <mergeCell ref="Y376:AB376"/>
    <mergeCell ref="AC376:AF376"/>
    <mergeCell ref="AG376:AJ376"/>
    <mergeCell ref="AK376:AN376"/>
    <mergeCell ref="AO376:AR376"/>
    <mergeCell ref="AC375:AF375"/>
    <mergeCell ref="AG375:AJ375"/>
    <mergeCell ref="AK375:AN375"/>
    <mergeCell ref="AO375:AR375"/>
    <mergeCell ref="AS375:AV375"/>
    <mergeCell ref="AO378:AR379"/>
    <mergeCell ref="AS378:AV379"/>
    <mergeCell ref="U377:X377"/>
    <mergeCell ref="Y377:AB377"/>
    <mergeCell ref="AC377:AF377"/>
    <mergeCell ref="AG377:AJ377"/>
    <mergeCell ref="AK377:AN377"/>
    <mergeCell ref="K377:N377"/>
    <mergeCell ref="K378:N379"/>
    <mergeCell ref="O378:T379"/>
    <mergeCell ref="U378:X379"/>
    <mergeCell ref="Y378:AB379"/>
    <mergeCell ref="AC378:AF379"/>
    <mergeCell ref="AG378:AJ379"/>
    <mergeCell ref="AK378:AN379"/>
    <mergeCell ref="O377:T377"/>
    <mergeCell ref="AO377:AR377"/>
    <mergeCell ref="AS377:AV377"/>
    <mergeCell ref="AO380:AR380"/>
    <mergeCell ref="AS380:AV380"/>
    <mergeCell ref="K381:N381"/>
    <mergeCell ref="O381:T381"/>
    <mergeCell ref="U381:X381"/>
    <mergeCell ref="Y381:AB381"/>
    <mergeCell ref="AC381:AF381"/>
    <mergeCell ref="AG381:AJ381"/>
    <mergeCell ref="AK381:AN381"/>
    <mergeCell ref="AO381:AR381"/>
    <mergeCell ref="AS381:AV381"/>
    <mergeCell ref="U380:X380"/>
    <mergeCell ref="Y380:AB380"/>
    <mergeCell ref="AC380:AF380"/>
    <mergeCell ref="AG380:AJ380"/>
    <mergeCell ref="AK380:AN380"/>
    <mergeCell ref="K380:N380"/>
    <mergeCell ref="O380:T380"/>
    <mergeCell ref="AO382:AR382"/>
    <mergeCell ref="AS382:AV382"/>
    <mergeCell ref="K383:N383"/>
    <mergeCell ref="O383:T383"/>
    <mergeCell ref="U383:X383"/>
    <mergeCell ref="Y383:AB383"/>
    <mergeCell ref="AC383:AF383"/>
    <mergeCell ref="AG383:AJ383"/>
    <mergeCell ref="AK383:AN383"/>
    <mergeCell ref="AO383:AR383"/>
    <mergeCell ref="AS383:AV383"/>
    <mergeCell ref="U382:X382"/>
    <mergeCell ref="Y382:AB382"/>
    <mergeCell ref="AC382:AF382"/>
    <mergeCell ref="AG382:AJ382"/>
    <mergeCell ref="AK382:AN382"/>
    <mergeCell ref="K382:N382"/>
    <mergeCell ref="O382:T382"/>
  </mergeCells>
  <pageMargins left="0.39370078740157483" right="0.19685039370078741" top="0.19685039370078741" bottom="0.19685039370078741" header="0" footer="0"/>
  <pageSetup paperSize="9" scale="63" fitToWidth="5" fitToHeight="5" orientation="portrait" r:id="rId1"/>
  <rowBreaks count="2" manualBreakCount="2">
    <brk id="53" max="44" man="1"/>
    <brk id="249" max="4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00CC"/>
    <pageSetUpPr fitToPage="1"/>
  </sheetPr>
  <dimension ref="A1:P304"/>
  <sheetViews>
    <sheetView view="pageBreakPreview" zoomScale="80" zoomScaleNormal="80" zoomScaleSheetLayoutView="80" workbookViewId="0">
      <pane xSplit="5" ySplit="4" topLeftCell="F80" activePane="bottomRight" state="frozen"/>
      <selection pane="topRight" activeCell="F1" sqref="F1"/>
      <selection pane="bottomLeft" activeCell="A5" sqref="A5"/>
      <selection pane="bottomRight" activeCell="I89" sqref="I89"/>
    </sheetView>
  </sheetViews>
  <sheetFormatPr defaultColWidth="9.109375" defaultRowHeight="13.8" x14ac:dyDescent="0.25"/>
  <cols>
    <col min="1" max="1" width="64.33203125" style="750" customWidth="1"/>
    <col min="2" max="2" width="5.5546875" style="748" customWidth="1"/>
    <col min="3" max="3" width="4.88671875" style="815" customWidth="1"/>
    <col min="4" max="4" width="5.33203125" style="815" bestFit="1" customWidth="1"/>
    <col min="5" max="5" width="6.88671875" style="815" customWidth="1"/>
    <col min="6" max="8" width="16.88671875" style="748" customWidth="1"/>
    <col min="9" max="9" width="15.44140625" style="749" customWidth="1"/>
    <col min="10" max="11" width="15.44140625" style="748" bestFit="1" customWidth="1"/>
    <col min="12" max="12" width="13.109375" style="748" bestFit="1" customWidth="1"/>
    <col min="13" max="13" width="6.44140625" style="748" customWidth="1"/>
    <col min="14" max="14" width="5.5546875" style="748" customWidth="1"/>
    <col min="15" max="15" width="13.88671875" style="750" bestFit="1" customWidth="1"/>
    <col min="16" max="16" width="30.109375" style="750" customWidth="1"/>
    <col min="17" max="16384" width="9.109375" style="750"/>
  </cols>
  <sheetData>
    <row r="1" spans="1:16" x14ac:dyDescent="0.25">
      <c r="A1" s="745" t="s">
        <v>231</v>
      </c>
      <c r="B1" s="746"/>
      <c r="C1" s="747"/>
      <c r="D1" s="747"/>
      <c r="E1" s="747"/>
    </row>
    <row r="2" spans="1:16" ht="15" customHeight="1" x14ac:dyDescent="0.25">
      <c r="A2" s="912" t="s">
        <v>1226</v>
      </c>
      <c r="B2" s="915" t="s">
        <v>232</v>
      </c>
      <c r="C2" s="918" t="s">
        <v>233</v>
      </c>
      <c r="D2" s="918" t="s">
        <v>234</v>
      </c>
      <c r="E2" s="918" t="s">
        <v>1</v>
      </c>
      <c r="F2" s="908" t="s">
        <v>235</v>
      </c>
      <c r="G2" s="908"/>
      <c r="H2" s="908"/>
      <c r="I2" s="908" t="s">
        <v>236</v>
      </c>
      <c r="J2" s="908"/>
      <c r="K2" s="908"/>
      <c r="L2" s="909" t="s">
        <v>237</v>
      </c>
      <c r="M2" s="910"/>
      <c r="N2" s="911"/>
    </row>
    <row r="3" spans="1:16" s="753" customFormat="1" ht="13.5" customHeight="1" x14ac:dyDescent="0.25">
      <c r="A3" s="913"/>
      <c r="B3" s="916"/>
      <c r="C3" s="919"/>
      <c r="D3" s="919"/>
      <c r="E3" s="919"/>
      <c r="F3" s="751">
        <v>2024</v>
      </c>
      <c r="G3" s="751">
        <f>F3+1</f>
        <v>2025</v>
      </c>
      <c r="H3" s="751">
        <f>G3+1</f>
        <v>2026</v>
      </c>
      <c r="I3" s="752">
        <v>2024</v>
      </c>
      <c r="J3" s="751">
        <f>I3+1</f>
        <v>2025</v>
      </c>
      <c r="K3" s="751">
        <f>J3+1</f>
        <v>2026</v>
      </c>
      <c r="L3" s="751">
        <v>2024</v>
      </c>
      <c r="M3" s="751">
        <f>L3+1</f>
        <v>2025</v>
      </c>
      <c r="N3" s="751">
        <f>M3+1</f>
        <v>2026</v>
      </c>
    </row>
    <row r="4" spans="1:16" s="753" customFormat="1" x14ac:dyDescent="0.25">
      <c r="A4" s="914"/>
      <c r="B4" s="917"/>
      <c r="C4" s="920"/>
      <c r="D4" s="920"/>
      <c r="E4" s="920"/>
      <c r="F4" s="754">
        <f t="shared" ref="F4:N4" si="0">SUM(F5,F196,F242)</f>
        <v>26525597.010000002</v>
      </c>
      <c r="G4" s="754">
        <f t="shared" si="0"/>
        <v>20043054.859999999</v>
      </c>
      <c r="H4" s="754">
        <f t="shared" si="0"/>
        <v>20043054.859999999</v>
      </c>
      <c r="I4" s="755">
        <f t="shared" si="0"/>
        <v>25454956.559999999</v>
      </c>
      <c r="J4" s="754">
        <f t="shared" si="0"/>
        <v>20043054.859999999</v>
      </c>
      <c r="K4" s="754">
        <f t="shared" si="0"/>
        <v>20043054.859999999</v>
      </c>
      <c r="L4" s="754">
        <f t="shared" si="0"/>
        <v>1070640.45</v>
      </c>
      <c r="M4" s="754">
        <f t="shared" si="0"/>
        <v>0</v>
      </c>
      <c r="N4" s="754">
        <f t="shared" si="0"/>
        <v>0</v>
      </c>
    </row>
    <row r="5" spans="1:16" s="753" customFormat="1" x14ac:dyDescent="0.25">
      <c r="A5" s="756" t="s">
        <v>238</v>
      </c>
      <c r="B5" s="757"/>
      <c r="C5" s="758" t="s">
        <v>37</v>
      </c>
      <c r="D5" s="758" t="s">
        <v>37</v>
      </c>
      <c r="E5" s="758" t="s">
        <v>37</v>
      </c>
      <c r="F5" s="754">
        <f>SUM(F6,F102,F109,F111,F153,F176)</f>
        <v>26467790.600000001</v>
      </c>
      <c r="G5" s="754">
        <f>SUM(G6,G102,G109,G111,G153,G176)</f>
        <v>20043054.859999999</v>
      </c>
      <c r="H5" s="754">
        <f>SUM(H6,H102,H109,H111,H153,H176)</f>
        <v>20043054.859999999</v>
      </c>
      <c r="I5" s="755">
        <f>SUM(I6,I102,I109,I111,I153,I156,I176)</f>
        <v>25397150.149999999</v>
      </c>
      <c r="J5" s="754">
        <f>SUM(J6,J102,J109,J111,J153,J156,J176)</f>
        <v>20043054.859999999</v>
      </c>
      <c r="K5" s="754">
        <f>SUM(K6,K102,K109,K111,K153,K156,K176)</f>
        <v>20043054.859999999</v>
      </c>
      <c r="L5" s="754">
        <f>SUM(L6,L102,L109,L111,L156,L176)</f>
        <v>1070640.45</v>
      </c>
      <c r="M5" s="754">
        <f>SUM(M6,M102,M109,M111,M156,M176)</f>
        <v>0</v>
      </c>
      <c r="N5" s="754">
        <f>SUM(N6,N102,N109,N111,N156,N176)</f>
        <v>0</v>
      </c>
    </row>
    <row r="6" spans="1:16" s="745" customFormat="1" x14ac:dyDescent="0.25">
      <c r="A6" s="759" t="s">
        <v>1259</v>
      </c>
      <c r="B6" s="760"/>
      <c r="C6" s="758" t="s">
        <v>37</v>
      </c>
      <c r="D6" s="758" t="s">
        <v>37</v>
      </c>
      <c r="E6" s="758" t="s">
        <v>37</v>
      </c>
      <c r="F6" s="761">
        <f t="shared" ref="F6:N6" si="1">SUM(F7,F8,F9,F10,F11,F12,F13,F21,F19,F60,F85,F57,F86,F87,F88,F89,F90,F91,F17,F18,F20)</f>
        <v>10259548.32</v>
      </c>
      <c r="G6" s="761">
        <f t="shared" si="1"/>
        <v>8014508.2699999996</v>
      </c>
      <c r="H6" s="761">
        <f t="shared" si="1"/>
        <v>8014508.2699999996</v>
      </c>
      <c r="I6" s="761">
        <f t="shared" si="1"/>
        <v>9848218.1500000004</v>
      </c>
      <c r="J6" s="761">
        <f t="shared" si="1"/>
        <v>8014508.2699999996</v>
      </c>
      <c r="K6" s="761">
        <f t="shared" si="1"/>
        <v>8014508.2699999996</v>
      </c>
      <c r="L6" s="761">
        <f t="shared" si="1"/>
        <v>411330.17</v>
      </c>
      <c r="M6" s="761">
        <f t="shared" si="1"/>
        <v>0</v>
      </c>
      <c r="N6" s="761">
        <f t="shared" si="1"/>
        <v>0</v>
      </c>
      <c r="O6" s="762" t="s">
        <v>239</v>
      </c>
      <c r="P6" s="762" t="s">
        <v>240</v>
      </c>
    </row>
    <row r="7" spans="1:16" x14ac:dyDescent="0.25">
      <c r="A7" s="763" t="s">
        <v>241</v>
      </c>
      <c r="B7" s="763"/>
      <c r="C7" s="764" t="s">
        <v>242</v>
      </c>
      <c r="D7" s="764" t="s">
        <v>243</v>
      </c>
      <c r="E7" s="764" t="s">
        <v>244</v>
      </c>
      <c r="F7" s="765">
        <f>I7+L7</f>
        <v>6105700</v>
      </c>
      <c r="G7" s="765">
        <f>J7+M7</f>
        <v>5124475</v>
      </c>
      <c r="H7" s="765">
        <f t="shared" ref="G7:H12" si="2">K7+N7</f>
        <v>5124474</v>
      </c>
      <c r="I7" s="838">
        <f>5916834-I8</f>
        <v>5859800</v>
      </c>
      <c r="J7" s="55">
        <f>5181509-J8</f>
        <v>5124475</v>
      </c>
      <c r="K7" s="55">
        <f>5181509-K8</f>
        <v>5124474</v>
      </c>
      <c r="L7" s="765">
        <v>245900</v>
      </c>
      <c r="M7" s="765"/>
      <c r="N7" s="765"/>
    </row>
    <row r="8" spans="1:16" x14ac:dyDescent="0.25">
      <c r="A8" s="763" t="s">
        <v>245</v>
      </c>
      <c r="B8" s="763"/>
      <c r="C8" s="764" t="s">
        <v>242</v>
      </c>
      <c r="D8" s="764" t="s">
        <v>243</v>
      </c>
      <c r="E8" s="764" t="s">
        <v>246</v>
      </c>
      <c r="F8" s="765">
        <f>I8+L8</f>
        <v>57034</v>
      </c>
      <c r="G8" s="765">
        <f>J8+M8</f>
        <v>57034</v>
      </c>
      <c r="H8" s="765">
        <f t="shared" si="2"/>
        <v>57035</v>
      </c>
      <c r="I8" s="838">
        <v>57034</v>
      </c>
      <c r="J8" s="55">
        <v>57034</v>
      </c>
      <c r="K8" s="55">
        <v>57035</v>
      </c>
      <c r="L8" s="765"/>
      <c r="M8" s="765"/>
      <c r="N8" s="765"/>
    </row>
    <row r="9" spans="1:16" s="766" customFormat="1" x14ac:dyDescent="0.25">
      <c r="A9" s="763" t="s">
        <v>247</v>
      </c>
      <c r="B9" s="763" t="s">
        <v>248</v>
      </c>
      <c r="C9" s="764" t="s">
        <v>249</v>
      </c>
      <c r="D9" s="764" t="s">
        <v>250</v>
      </c>
      <c r="E9" s="764" t="s">
        <v>246</v>
      </c>
      <c r="F9" s="765">
        <f>I9+L9</f>
        <v>0</v>
      </c>
      <c r="G9" s="765">
        <f t="shared" si="2"/>
        <v>0</v>
      </c>
      <c r="H9" s="765">
        <f t="shared" si="2"/>
        <v>0</v>
      </c>
      <c r="I9" s="838"/>
      <c r="J9" s="55"/>
      <c r="K9" s="55"/>
      <c r="L9" s="765"/>
      <c r="M9" s="765"/>
      <c r="N9" s="765"/>
      <c r="O9" s="750"/>
    </row>
    <row r="10" spans="1:16" s="766" customFormat="1" x14ac:dyDescent="0.25">
      <c r="A10" s="763" t="s">
        <v>251</v>
      </c>
      <c r="B10" s="763" t="s">
        <v>248</v>
      </c>
      <c r="C10" s="764" t="s">
        <v>249</v>
      </c>
      <c r="D10" s="764" t="s">
        <v>250</v>
      </c>
      <c r="E10" s="764" t="s">
        <v>252</v>
      </c>
      <c r="F10" s="765">
        <f>I10+L10</f>
        <v>0</v>
      </c>
      <c r="G10" s="765">
        <f t="shared" si="2"/>
        <v>0</v>
      </c>
      <c r="H10" s="765">
        <f t="shared" si="2"/>
        <v>0</v>
      </c>
      <c r="I10" s="838"/>
      <c r="J10" s="55"/>
      <c r="K10" s="55"/>
      <c r="L10" s="765"/>
      <c r="M10" s="765"/>
      <c r="N10" s="765"/>
      <c r="O10" s="750"/>
    </row>
    <row r="11" spans="1:16" s="766" customFormat="1" x14ac:dyDescent="0.25">
      <c r="A11" s="763" t="s">
        <v>253</v>
      </c>
      <c r="B11" s="763" t="s">
        <v>248</v>
      </c>
      <c r="C11" s="764" t="s">
        <v>249</v>
      </c>
      <c r="D11" s="764" t="s">
        <v>250</v>
      </c>
      <c r="E11" s="764" t="s">
        <v>246</v>
      </c>
      <c r="F11" s="765">
        <f>I11+L11</f>
        <v>0</v>
      </c>
      <c r="G11" s="765">
        <f t="shared" si="2"/>
        <v>0</v>
      </c>
      <c r="H11" s="765">
        <f t="shared" si="2"/>
        <v>0</v>
      </c>
      <c r="I11" s="838"/>
      <c r="J11" s="55"/>
      <c r="K11" s="55"/>
      <c r="L11" s="765"/>
      <c r="M11" s="765"/>
      <c r="N11" s="765"/>
      <c r="O11" s="750"/>
    </row>
    <row r="12" spans="1:16" x14ac:dyDescent="0.25">
      <c r="A12" s="763" t="s">
        <v>254</v>
      </c>
      <c r="B12" s="763"/>
      <c r="C12" s="764" t="s">
        <v>255</v>
      </c>
      <c r="D12" s="764" t="s">
        <v>256</v>
      </c>
      <c r="E12" s="764" t="s">
        <v>257</v>
      </c>
      <c r="F12" s="765">
        <f>I12+L12</f>
        <v>1934996.17</v>
      </c>
      <c r="G12" s="765">
        <f t="shared" si="2"/>
        <v>1579857</v>
      </c>
      <c r="H12" s="765">
        <f t="shared" si="2"/>
        <v>1579857</v>
      </c>
      <c r="I12" s="838">
        <v>1769566</v>
      </c>
      <c r="J12" s="55">
        <v>1579857</v>
      </c>
      <c r="K12" s="55">
        <v>1579857</v>
      </c>
      <c r="L12" s="765">
        <v>165430.17000000001</v>
      </c>
      <c r="M12" s="765"/>
      <c r="N12" s="765"/>
    </row>
    <row r="13" spans="1:16" s="745" customFormat="1" x14ac:dyDescent="0.25">
      <c r="A13" s="767" t="s">
        <v>258</v>
      </c>
      <c r="B13" s="767"/>
      <c r="C13" s="768"/>
      <c r="D13" s="768" t="s">
        <v>259</v>
      </c>
      <c r="E13" s="768" t="s">
        <v>260</v>
      </c>
      <c r="F13" s="769">
        <f>SUM(F14:F15)</f>
        <v>40687.26</v>
      </c>
      <c r="G13" s="769">
        <f t="shared" ref="G13:N13" si="3">SUM(G14:G15)</f>
        <v>37346.42</v>
      </c>
      <c r="H13" s="769">
        <f t="shared" si="3"/>
        <v>37346.42</v>
      </c>
      <c r="I13" s="837">
        <f>SUM(I14:I15)</f>
        <v>40687.26</v>
      </c>
      <c r="J13" s="62">
        <f>SUM(J14:J15)</f>
        <v>37346.42</v>
      </c>
      <c r="K13" s="62">
        <f>SUM(K14:K15)</f>
        <v>37346.42</v>
      </c>
      <c r="L13" s="769">
        <f t="shared" si="3"/>
        <v>0</v>
      </c>
      <c r="M13" s="769">
        <f t="shared" si="3"/>
        <v>0</v>
      </c>
      <c r="N13" s="769">
        <f t="shared" si="3"/>
        <v>0</v>
      </c>
      <c r="O13" s="750"/>
    </row>
    <row r="14" spans="1:16" ht="27.6" x14ac:dyDescent="0.25">
      <c r="A14" s="763" t="s">
        <v>261</v>
      </c>
      <c r="B14" s="763"/>
      <c r="C14" s="764" t="s">
        <v>262</v>
      </c>
      <c r="D14" s="764" t="s">
        <v>259</v>
      </c>
      <c r="E14" s="764" t="s">
        <v>260</v>
      </c>
      <c r="F14" s="765">
        <f t="shared" ref="F14:H20" si="4">I14+L14</f>
        <v>25937.26</v>
      </c>
      <c r="G14" s="765">
        <f t="shared" si="4"/>
        <v>22596.42</v>
      </c>
      <c r="H14" s="765">
        <f t="shared" si="4"/>
        <v>22596.42</v>
      </c>
      <c r="I14" s="839">
        <f>22596.42+3340.84</f>
        <v>25937.26</v>
      </c>
      <c r="J14" s="777">
        <v>22596.42</v>
      </c>
      <c r="K14" s="777">
        <v>22596.42</v>
      </c>
      <c r="L14" s="765"/>
      <c r="M14" s="765"/>
      <c r="N14" s="765"/>
    </row>
    <row r="15" spans="1:16" s="766" customFormat="1" x14ac:dyDescent="0.25">
      <c r="A15" s="763" t="s">
        <v>263</v>
      </c>
      <c r="B15" s="763" t="s">
        <v>248</v>
      </c>
      <c r="C15" s="764" t="s">
        <v>249</v>
      </c>
      <c r="D15" s="764" t="s">
        <v>259</v>
      </c>
      <c r="E15" s="764" t="s">
        <v>260</v>
      </c>
      <c r="F15" s="765">
        <f t="shared" si="4"/>
        <v>14750</v>
      </c>
      <c r="G15" s="765">
        <f t="shared" si="4"/>
        <v>14750</v>
      </c>
      <c r="H15" s="765">
        <f t="shared" si="4"/>
        <v>14750</v>
      </c>
      <c r="I15" s="839">
        <v>14750</v>
      </c>
      <c r="J15" s="777">
        <v>14750</v>
      </c>
      <c r="K15" s="777">
        <v>14750</v>
      </c>
      <c r="L15" s="765"/>
      <c r="M15" s="765"/>
      <c r="N15" s="765"/>
      <c r="O15" s="750"/>
    </row>
    <row r="16" spans="1:16" s="771" customFormat="1" x14ac:dyDescent="0.25">
      <c r="A16" s="767" t="s">
        <v>264</v>
      </c>
      <c r="B16" s="767" t="s">
        <v>248</v>
      </c>
      <c r="C16" s="768" t="s">
        <v>249</v>
      </c>
      <c r="D16" s="768" t="s">
        <v>259</v>
      </c>
      <c r="E16" s="768" t="s">
        <v>265</v>
      </c>
      <c r="F16" s="769">
        <f t="shared" si="4"/>
        <v>0</v>
      </c>
      <c r="G16" s="769">
        <f>J16+M16</f>
        <v>0</v>
      </c>
      <c r="H16" s="769">
        <f t="shared" si="4"/>
        <v>0</v>
      </c>
      <c r="I16" s="840"/>
      <c r="J16" s="770"/>
      <c r="K16" s="770"/>
      <c r="L16" s="769"/>
      <c r="M16" s="769"/>
      <c r="N16" s="769"/>
      <c r="O16" s="750"/>
    </row>
    <row r="17" spans="1:15" s="745" customFormat="1" ht="22.5" customHeight="1" x14ac:dyDescent="0.25">
      <c r="A17" s="772" t="s">
        <v>1123</v>
      </c>
      <c r="B17" s="767"/>
      <c r="C17" s="768" t="s">
        <v>267</v>
      </c>
      <c r="D17" s="768" t="s">
        <v>259</v>
      </c>
      <c r="E17" s="768" t="s">
        <v>268</v>
      </c>
      <c r="F17" s="769">
        <f>I17+L17</f>
        <v>153700</v>
      </c>
      <c r="G17" s="769">
        <f t="shared" si="4"/>
        <v>59850</v>
      </c>
      <c r="H17" s="769">
        <f t="shared" si="4"/>
        <v>59850</v>
      </c>
      <c r="I17" s="1004">
        <f>63000+5000+55000+13700+17000</f>
        <v>153700</v>
      </c>
      <c r="J17" s="62">
        <v>59850</v>
      </c>
      <c r="K17" s="62">
        <v>59850</v>
      </c>
      <c r="L17" s="769"/>
      <c r="M17" s="769"/>
      <c r="N17" s="769"/>
      <c r="O17" s="773"/>
    </row>
    <row r="18" spans="1:15" s="745" customFormat="1" ht="30" customHeight="1" x14ac:dyDescent="0.25">
      <c r="A18" s="772" t="s">
        <v>1124</v>
      </c>
      <c r="B18" s="767"/>
      <c r="C18" s="768" t="s">
        <v>267</v>
      </c>
      <c r="D18" s="768" t="s">
        <v>745</v>
      </c>
      <c r="E18" s="768" t="s">
        <v>268</v>
      </c>
      <c r="F18" s="769">
        <f>I18+L18</f>
        <v>1043317.06</v>
      </c>
      <c r="G18" s="769">
        <f t="shared" si="4"/>
        <v>656170</v>
      </c>
      <c r="H18" s="769">
        <f t="shared" si="4"/>
        <v>656170</v>
      </c>
      <c r="I18" s="1004">
        <f>182400+508300+65517.06-10000+5000-55000+162100+158300+43700-91000+74000</f>
        <v>1043317.06</v>
      </c>
      <c r="J18" s="62">
        <f>173282+482888</f>
        <v>656170</v>
      </c>
      <c r="K18" s="62">
        <f>173282+482888</f>
        <v>656170</v>
      </c>
      <c r="L18" s="769"/>
      <c r="M18" s="769"/>
      <c r="N18" s="769"/>
      <c r="O18" s="773"/>
    </row>
    <row r="19" spans="1:15" s="745" customFormat="1" x14ac:dyDescent="0.25">
      <c r="A19" s="774" t="s">
        <v>269</v>
      </c>
      <c r="B19" s="774"/>
      <c r="C19" s="768" t="s">
        <v>270</v>
      </c>
      <c r="D19" s="775" t="s">
        <v>259</v>
      </c>
      <c r="E19" s="768" t="s">
        <v>268</v>
      </c>
      <c r="F19" s="769">
        <f>I19+L19</f>
        <v>0</v>
      </c>
      <c r="G19" s="769">
        <f>J19+M19</f>
        <v>0</v>
      </c>
      <c r="H19" s="769">
        <f>K19+N19</f>
        <v>0</v>
      </c>
      <c r="I19" s="837"/>
      <c r="J19" s="62"/>
      <c r="K19" s="62"/>
      <c r="L19" s="769"/>
      <c r="M19" s="769"/>
      <c r="N19" s="769"/>
      <c r="O19" s="750"/>
    </row>
    <row r="20" spans="1:15" s="771" customFormat="1" x14ac:dyDescent="0.25">
      <c r="A20" s="774" t="s">
        <v>271</v>
      </c>
      <c r="B20" s="767" t="s">
        <v>248</v>
      </c>
      <c r="C20" s="768" t="s">
        <v>249</v>
      </c>
      <c r="D20" s="775" t="s">
        <v>259</v>
      </c>
      <c r="E20" s="768" t="s">
        <v>272</v>
      </c>
      <c r="F20" s="769">
        <f t="shared" si="4"/>
        <v>0</v>
      </c>
      <c r="G20" s="769">
        <f t="shared" si="4"/>
        <v>0</v>
      </c>
      <c r="H20" s="769">
        <f t="shared" si="4"/>
        <v>0</v>
      </c>
      <c r="I20" s="837"/>
      <c r="J20" s="62"/>
      <c r="K20" s="62"/>
      <c r="L20" s="769"/>
      <c r="M20" s="769"/>
      <c r="N20" s="769"/>
      <c r="O20" s="750"/>
    </row>
    <row r="21" spans="1:15" s="745" customFormat="1" ht="18" customHeight="1" x14ac:dyDescent="0.25">
      <c r="A21" s="767" t="s">
        <v>273</v>
      </c>
      <c r="B21" s="767"/>
      <c r="C21" s="768"/>
      <c r="D21" s="768" t="s">
        <v>259</v>
      </c>
      <c r="E21" s="768" t="s">
        <v>274</v>
      </c>
      <c r="F21" s="62">
        <f>SUM(F22:F56)</f>
        <v>186505.83</v>
      </c>
      <c r="G21" s="62">
        <f t="shared" ref="G21:N21" si="5">SUM(G22:G56)</f>
        <v>118383.51</v>
      </c>
      <c r="H21" s="62">
        <f t="shared" si="5"/>
        <v>118383.51</v>
      </c>
      <c r="I21" s="837">
        <f>SUM(I22:I56)</f>
        <v>186505.83</v>
      </c>
      <c r="J21" s="62">
        <f t="shared" si="5"/>
        <v>118383.51</v>
      </c>
      <c r="K21" s="62">
        <f t="shared" si="5"/>
        <v>118383.51</v>
      </c>
      <c r="L21" s="62">
        <f t="shared" si="5"/>
        <v>0</v>
      </c>
      <c r="M21" s="62">
        <f t="shared" si="5"/>
        <v>0</v>
      </c>
      <c r="N21" s="62">
        <f t="shared" si="5"/>
        <v>0</v>
      </c>
      <c r="O21" s="750"/>
    </row>
    <row r="22" spans="1:15" ht="27.6" x14ac:dyDescent="0.25">
      <c r="A22" s="763" t="s">
        <v>275</v>
      </c>
      <c r="B22" s="763"/>
      <c r="C22" s="764" t="s">
        <v>276</v>
      </c>
      <c r="D22" s="764" t="s">
        <v>259</v>
      </c>
      <c r="E22" s="764" t="s">
        <v>274</v>
      </c>
      <c r="F22" s="765">
        <f t="shared" ref="F22:H85" si="6">I22+L22</f>
        <v>11168.8</v>
      </c>
      <c r="G22" s="765">
        <f t="shared" si="6"/>
        <v>9307.31</v>
      </c>
      <c r="H22" s="765">
        <f t="shared" si="6"/>
        <v>9307.31</v>
      </c>
      <c r="I22" s="838">
        <f>9307.31+1861.49</f>
        <v>11168.8</v>
      </c>
      <c r="J22" s="55">
        <v>9307.31</v>
      </c>
      <c r="K22" s="55">
        <v>9307.31</v>
      </c>
      <c r="L22" s="765"/>
      <c r="M22" s="765"/>
      <c r="N22" s="765"/>
    </row>
    <row r="23" spans="1:15" s="776" customFormat="1" ht="15" customHeight="1" x14ac:dyDescent="0.25">
      <c r="A23" s="763" t="s">
        <v>1125</v>
      </c>
      <c r="B23" s="763" t="s">
        <v>277</v>
      </c>
      <c r="C23" s="764" t="s">
        <v>249</v>
      </c>
      <c r="D23" s="764" t="s">
        <v>259</v>
      </c>
      <c r="E23" s="764" t="s">
        <v>274</v>
      </c>
      <c r="F23" s="765">
        <f t="shared" si="6"/>
        <v>0</v>
      </c>
      <c r="G23" s="765">
        <f t="shared" si="6"/>
        <v>0</v>
      </c>
      <c r="H23" s="765">
        <f t="shared" si="6"/>
        <v>0</v>
      </c>
      <c r="I23" s="838"/>
      <c r="J23" s="55"/>
      <c r="K23" s="55"/>
      <c r="L23" s="765"/>
      <c r="M23" s="765"/>
      <c r="N23" s="765"/>
      <c r="O23" s="750"/>
    </row>
    <row r="24" spans="1:15" ht="27.6" x14ac:dyDescent="0.25">
      <c r="A24" s="763" t="s">
        <v>278</v>
      </c>
      <c r="B24" s="763"/>
      <c r="C24" s="764" t="s">
        <v>279</v>
      </c>
      <c r="D24" s="764" t="s">
        <v>259</v>
      </c>
      <c r="E24" s="764" t="s">
        <v>274</v>
      </c>
      <c r="F24" s="765">
        <f t="shared" si="6"/>
        <v>20522</v>
      </c>
      <c r="G24" s="765">
        <f t="shared" si="6"/>
        <v>15529</v>
      </c>
      <c r="H24" s="765">
        <f t="shared" si="6"/>
        <v>15529</v>
      </c>
      <c r="I24" s="838">
        <f>15529+2031+2962</f>
        <v>20522</v>
      </c>
      <c r="J24" s="55">
        <v>15529</v>
      </c>
      <c r="K24" s="55">
        <v>15529</v>
      </c>
      <c r="L24" s="765"/>
      <c r="M24" s="765"/>
      <c r="N24" s="765"/>
    </row>
    <row r="25" spans="1:15" ht="15" customHeight="1" x14ac:dyDescent="0.25">
      <c r="A25" s="763" t="s">
        <v>1232</v>
      </c>
      <c r="B25" s="763"/>
      <c r="C25" s="764" t="s">
        <v>279</v>
      </c>
      <c r="D25" s="764" t="s">
        <v>259</v>
      </c>
      <c r="E25" s="764" t="s">
        <v>274</v>
      </c>
      <c r="F25" s="765">
        <f t="shared" si="6"/>
        <v>82062.55</v>
      </c>
      <c r="G25" s="765">
        <f t="shared" si="6"/>
        <v>47941.5</v>
      </c>
      <c r="H25" s="765">
        <f t="shared" si="6"/>
        <v>47941.5</v>
      </c>
      <c r="I25" s="838">
        <f>47941.5+20072.25+14048.8</f>
        <v>82062.55</v>
      </c>
      <c r="J25" s="55">
        <v>47941.5</v>
      </c>
      <c r="K25" s="55">
        <v>47941.5</v>
      </c>
      <c r="L25" s="765"/>
      <c r="M25" s="765"/>
      <c r="N25" s="765"/>
    </row>
    <row r="26" spans="1:15" x14ac:dyDescent="0.25">
      <c r="A26" s="763" t="s">
        <v>281</v>
      </c>
      <c r="B26" s="763"/>
      <c r="C26" s="764" t="s">
        <v>270</v>
      </c>
      <c r="D26" s="764" t="s">
        <v>259</v>
      </c>
      <c r="E26" s="764" t="s">
        <v>274</v>
      </c>
      <c r="F26" s="765">
        <f t="shared" si="6"/>
        <v>0</v>
      </c>
      <c r="G26" s="765">
        <f t="shared" si="6"/>
        <v>0</v>
      </c>
      <c r="H26" s="765">
        <f t="shared" si="6"/>
        <v>0</v>
      </c>
      <c r="I26" s="838"/>
      <c r="J26" s="55"/>
      <c r="K26" s="55"/>
      <c r="L26" s="765"/>
      <c r="M26" s="765"/>
      <c r="N26" s="765"/>
    </row>
    <row r="27" spans="1:15" ht="14.25" customHeight="1" x14ac:dyDescent="0.25">
      <c r="A27" s="763" t="s">
        <v>282</v>
      </c>
      <c r="B27" s="763" t="s">
        <v>248</v>
      </c>
      <c r="C27" s="764" t="s">
        <v>249</v>
      </c>
      <c r="D27" s="764" t="s">
        <v>259</v>
      </c>
      <c r="E27" s="764" t="s">
        <v>274</v>
      </c>
      <c r="F27" s="765">
        <f t="shared" si="6"/>
        <v>8855.58</v>
      </c>
      <c r="G27" s="765">
        <f t="shared" si="6"/>
        <v>7084.8</v>
      </c>
      <c r="H27" s="765">
        <f t="shared" si="6"/>
        <v>7084.8</v>
      </c>
      <c r="I27" s="839">
        <f>7084.8+268.02+1502.76</f>
        <v>8855.58</v>
      </c>
      <c r="J27" s="777">
        <v>7084.8</v>
      </c>
      <c r="K27" s="777">
        <v>7084.8</v>
      </c>
      <c r="L27" s="765"/>
      <c r="M27" s="765"/>
      <c r="N27" s="765"/>
    </row>
    <row r="28" spans="1:15" ht="14.25" customHeight="1" x14ac:dyDescent="0.25">
      <c r="A28" s="763" t="s">
        <v>1126</v>
      </c>
      <c r="B28" s="763" t="s">
        <v>248</v>
      </c>
      <c r="C28" s="764" t="s">
        <v>249</v>
      </c>
      <c r="D28" s="764" t="s">
        <v>259</v>
      </c>
      <c r="E28" s="764" t="s">
        <v>274</v>
      </c>
      <c r="F28" s="765">
        <f t="shared" si="6"/>
        <v>0</v>
      </c>
      <c r="G28" s="765">
        <f t="shared" si="6"/>
        <v>0</v>
      </c>
      <c r="H28" s="765">
        <f t="shared" si="6"/>
        <v>0</v>
      </c>
      <c r="I28" s="838"/>
      <c r="J28" s="55"/>
      <c r="K28" s="55"/>
      <c r="L28" s="765"/>
      <c r="M28" s="765"/>
      <c r="N28" s="765"/>
    </row>
    <row r="29" spans="1:15" ht="14.25" customHeight="1" x14ac:dyDescent="0.25">
      <c r="A29" s="763" t="s">
        <v>283</v>
      </c>
      <c r="B29" s="763" t="s">
        <v>248</v>
      </c>
      <c r="C29" s="764" t="s">
        <v>249</v>
      </c>
      <c r="D29" s="764" t="s">
        <v>259</v>
      </c>
      <c r="E29" s="764" t="s">
        <v>274</v>
      </c>
      <c r="F29" s="765">
        <f t="shared" si="6"/>
        <v>0</v>
      </c>
      <c r="G29" s="765">
        <f t="shared" si="6"/>
        <v>0</v>
      </c>
      <c r="H29" s="765">
        <f t="shared" si="6"/>
        <v>0</v>
      </c>
      <c r="I29" s="838"/>
      <c r="J29" s="55"/>
      <c r="K29" s="55"/>
      <c r="L29" s="765"/>
      <c r="M29" s="765"/>
      <c r="N29" s="765"/>
    </row>
    <row r="30" spans="1:15" ht="14.25" customHeight="1" x14ac:dyDescent="0.25">
      <c r="A30" s="763" t="s">
        <v>1167</v>
      </c>
      <c r="B30" s="763" t="s">
        <v>248</v>
      </c>
      <c r="C30" s="764" t="s">
        <v>249</v>
      </c>
      <c r="D30" s="764" t="s">
        <v>259</v>
      </c>
      <c r="E30" s="764" t="s">
        <v>274</v>
      </c>
      <c r="F30" s="765">
        <f t="shared" si="6"/>
        <v>0</v>
      </c>
      <c r="G30" s="765">
        <f t="shared" si="6"/>
        <v>0</v>
      </c>
      <c r="H30" s="765">
        <f t="shared" si="6"/>
        <v>0</v>
      </c>
      <c r="I30" s="841"/>
      <c r="J30" s="55"/>
      <c r="K30" s="55"/>
      <c r="L30" s="765"/>
      <c r="M30" s="765"/>
      <c r="N30" s="765"/>
    </row>
    <row r="31" spans="1:15" ht="14.25" customHeight="1" x14ac:dyDescent="0.25">
      <c r="A31" s="763" t="s">
        <v>285</v>
      </c>
      <c r="B31" s="763" t="s">
        <v>248</v>
      </c>
      <c r="C31" s="764" t="s">
        <v>249</v>
      </c>
      <c r="D31" s="764" t="s">
        <v>259</v>
      </c>
      <c r="E31" s="764" t="s">
        <v>274</v>
      </c>
      <c r="F31" s="765">
        <f t="shared" si="6"/>
        <v>0</v>
      </c>
      <c r="G31" s="765">
        <f t="shared" si="6"/>
        <v>0</v>
      </c>
      <c r="H31" s="765">
        <f t="shared" si="6"/>
        <v>0</v>
      </c>
      <c r="I31" s="838"/>
      <c r="J31" s="55"/>
      <c r="K31" s="55"/>
      <c r="L31" s="765"/>
      <c r="M31" s="765"/>
      <c r="N31" s="765"/>
    </row>
    <row r="32" spans="1:15" ht="14.25" customHeight="1" x14ac:dyDescent="0.25">
      <c r="A32" s="763" t="s">
        <v>1233</v>
      </c>
      <c r="B32" s="763" t="s">
        <v>248</v>
      </c>
      <c r="C32" s="764" t="s">
        <v>249</v>
      </c>
      <c r="D32" s="764" t="s">
        <v>259</v>
      </c>
      <c r="E32" s="764" t="s">
        <v>274</v>
      </c>
      <c r="F32" s="765">
        <f t="shared" si="6"/>
        <v>0</v>
      </c>
      <c r="G32" s="765">
        <f t="shared" si="6"/>
        <v>0</v>
      </c>
      <c r="H32" s="765">
        <f t="shared" si="6"/>
        <v>0</v>
      </c>
      <c r="I32" s="838"/>
      <c r="J32" s="55"/>
      <c r="K32" s="55"/>
      <c r="L32" s="765"/>
      <c r="M32" s="765"/>
      <c r="N32" s="765"/>
    </row>
    <row r="33" spans="1:14" ht="14.25" customHeight="1" x14ac:dyDescent="0.25">
      <c r="A33" s="763" t="s">
        <v>1127</v>
      </c>
      <c r="B33" s="763" t="s">
        <v>248</v>
      </c>
      <c r="C33" s="764" t="s">
        <v>249</v>
      </c>
      <c r="D33" s="764" t="s">
        <v>259</v>
      </c>
      <c r="E33" s="764" t="s">
        <v>274</v>
      </c>
      <c r="F33" s="765">
        <f t="shared" si="6"/>
        <v>16200</v>
      </c>
      <c r="G33" s="765">
        <f t="shared" si="6"/>
        <v>0</v>
      </c>
      <c r="H33" s="765">
        <f t="shared" si="6"/>
        <v>0</v>
      </c>
      <c r="I33" s="838">
        <v>16200</v>
      </c>
      <c r="J33" s="55"/>
      <c r="K33" s="55"/>
      <c r="L33" s="765"/>
      <c r="M33" s="765"/>
      <c r="N33" s="765"/>
    </row>
    <row r="34" spans="1:14" ht="14.25" customHeight="1" x14ac:dyDescent="0.25">
      <c r="A34" s="763" t="s">
        <v>1234</v>
      </c>
      <c r="B34" s="763" t="s">
        <v>248</v>
      </c>
      <c r="C34" s="764" t="s">
        <v>249</v>
      </c>
      <c r="D34" s="764" t="s">
        <v>259</v>
      </c>
      <c r="E34" s="764" t="s">
        <v>274</v>
      </c>
      <c r="F34" s="765">
        <f t="shared" si="6"/>
        <v>0</v>
      </c>
      <c r="G34" s="765">
        <f t="shared" si="6"/>
        <v>0</v>
      </c>
      <c r="H34" s="765">
        <f t="shared" si="6"/>
        <v>0</v>
      </c>
      <c r="I34" s="838"/>
      <c r="J34" s="55"/>
      <c r="K34" s="55"/>
      <c r="L34" s="765"/>
      <c r="M34" s="765"/>
      <c r="N34" s="765"/>
    </row>
    <row r="35" spans="1:14" ht="14.25" customHeight="1" x14ac:dyDescent="0.25">
      <c r="A35" s="763" t="s">
        <v>286</v>
      </c>
      <c r="B35" s="763" t="s">
        <v>248</v>
      </c>
      <c r="C35" s="764" t="s">
        <v>249</v>
      </c>
      <c r="D35" s="764" t="s">
        <v>259</v>
      </c>
      <c r="E35" s="764" t="s">
        <v>274</v>
      </c>
      <c r="F35" s="765">
        <f t="shared" si="6"/>
        <v>0</v>
      </c>
      <c r="G35" s="765">
        <f t="shared" si="6"/>
        <v>0</v>
      </c>
      <c r="H35" s="765">
        <f t="shared" si="6"/>
        <v>0</v>
      </c>
      <c r="I35" s="838"/>
      <c r="J35" s="55"/>
      <c r="K35" s="55"/>
      <c r="L35" s="765"/>
      <c r="M35" s="765"/>
      <c r="N35" s="765"/>
    </row>
    <row r="36" spans="1:14" ht="14.25" customHeight="1" x14ac:dyDescent="0.25">
      <c r="A36" s="763" t="s">
        <v>1128</v>
      </c>
      <c r="B36" s="763" t="s">
        <v>248</v>
      </c>
      <c r="C36" s="764" t="s">
        <v>249</v>
      </c>
      <c r="D36" s="764" t="s">
        <v>259</v>
      </c>
      <c r="E36" s="764" t="s">
        <v>274</v>
      </c>
      <c r="F36" s="765">
        <f t="shared" si="6"/>
        <v>0</v>
      </c>
      <c r="G36" s="765">
        <f t="shared" si="6"/>
        <v>0</v>
      </c>
      <c r="H36" s="765">
        <f t="shared" si="6"/>
        <v>0</v>
      </c>
      <c r="I36" s="838"/>
      <c r="J36" s="55"/>
      <c r="K36" s="55"/>
      <c r="L36" s="765"/>
      <c r="M36" s="765"/>
      <c r="N36" s="765"/>
    </row>
    <row r="37" spans="1:14" ht="14.25" customHeight="1" x14ac:dyDescent="0.25">
      <c r="A37" s="763" t="s">
        <v>287</v>
      </c>
      <c r="B37" s="763" t="s">
        <v>248</v>
      </c>
      <c r="C37" s="764" t="s">
        <v>249</v>
      </c>
      <c r="D37" s="764" t="s">
        <v>259</v>
      </c>
      <c r="E37" s="764" t="s">
        <v>274</v>
      </c>
      <c r="F37" s="765">
        <f t="shared" si="6"/>
        <v>0</v>
      </c>
      <c r="G37" s="765">
        <f t="shared" si="6"/>
        <v>0</v>
      </c>
      <c r="H37" s="765">
        <f t="shared" si="6"/>
        <v>0</v>
      </c>
      <c r="I37" s="838"/>
      <c r="J37" s="55"/>
      <c r="K37" s="55"/>
      <c r="L37" s="765"/>
      <c r="M37" s="765"/>
      <c r="N37" s="765"/>
    </row>
    <row r="38" spans="1:14" ht="14.25" customHeight="1" x14ac:dyDescent="0.25">
      <c r="A38" s="763" t="s">
        <v>288</v>
      </c>
      <c r="B38" s="763" t="s">
        <v>248</v>
      </c>
      <c r="C38" s="764" t="s">
        <v>249</v>
      </c>
      <c r="D38" s="764" t="s">
        <v>259</v>
      </c>
      <c r="E38" s="764" t="s">
        <v>274</v>
      </c>
      <c r="F38" s="765">
        <f t="shared" si="6"/>
        <v>0</v>
      </c>
      <c r="G38" s="765">
        <f t="shared" si="6"/>
        <v>0</v>
      </c>
      <c r="H38" s="765">
        <f t="shared" si="6"/>
        <v>0</v>
      </c>
      <c r="I38" s="838"/>
      <c r="J38" s="55"/>
      <c r="K38" s="55"/>
      <c r="L38" s="765"/>
      <c r="M38" s="765"/>
      <c r="N38" s="765"/>
    </row>
    <row r="39" spans="1:14" ht="14.25" customHeight="1" x14ac:dyDescent="0.25">
      <c r="A39" s="763" t="s">
        <v>1235</v>
      </c>
      <c r="B39" s="763" t="s">
        <v>248</v>
      </c>
      <c r="C39" s="764" t="s">
        <v>249</v>
      </c>
      <c r="D39" s="764" t="s">
        <v>259</v>
      </c>
      <c r="E39" s="764" t="s">
        <v>274</v>
      </c>
      <c r="F39" s="765">
        <f t="shared" si="6"/>
        <v>47696.9</v>
      </c>
      <c r="G39" s="765">
        <f t="shared" si="6"/>
        <v>38520.9</v>
      </c>
      <c r="H39" s="765">
        <f t="shared" si="6"/>
        <v>38520.9</v>
      </c>
      <c r="I39" s="839">
        <f>38520.9+8122.3+1053.7</f>
        <v>47696.9</v>
      </c>
      <c r="J39" s="777">
        <v>38520.9</v>
      </c>
      <c r="K39" s="777">
        <v>38520.9</v>
      </c>
      <c r="L39" s="765"/>
      <c r="M39" s="765"/>
      <c r="N39" s="765"/>
    </row>
    <row r="40" spans="1:14" ht="14.25" customHeight="1" x14ac:dyDescent="0.25">
      <c r="A40" s="763" t="s">
        <v>1134</v>
      </c>
      <c r="B40" s="763" t="s">
        <v>248</v>
      </c>
      <c r="C40" s="764" t="s">
        <v>249</v>
      </c>
      <c r="D40" s="764" t="s">
        <v>259</v>
      </c>
      <c r="E40" s="764" t="s">
        <v>274</v>
      </c>
      <c r="F40" s="765">
        <f t="shared" si="6"/>
        <v>0</v>
      </c>
      <c r="G40" s="765">
        <f t="shared" si="6"/>
        <v>0</v>
      </c>
      <c r="H40" s="765">
        <f t="shared" si="6"/>
        <v>0</v>
      </c>
      <c r="I40" s="839"/>
      <c r="J40" s="777"/>
      <c r="K40" s="777"/>
      <c r="L40" s="765"/>
      <c r="M40" s="765"/>
      <c r="N40" s="765"/>
    </row>
    <row r="41" spans="1:14" ht="14.25" customHeight="1" x14ac:dyDescent="0.25">
      <c r="A41" s="763" t="s">
        <v>1129</v>
      </c>
      <c r="B41" s="763" t="s">
        <v>248</v>
      </c>
      <c r="C41" s="764" t="s">
        <v>249</v>
      </c>
      <c r="D41" s="764" t="s">
        <v>259</v>
      </c>
      <c r="E41" s="764" t="s">
        <v>274</v>
      </c>
      <c r="F41" s="765">
        <f t="shared" si="6"/>
        <v>0</v>
      </c>
      <c r="G41" s="765">
        <f t="shared" si="6"/>
        <v>0</v>
      </c>
      <c r="H41" s="765">
        <f t="shared" si="6"/>
        <v>0</v>
      </c>
      <c r="I41" s="839"/>
      <c r="J41" s="777"/>
      <c r="K41" s="777"/>
      <c r="L41" s="765"/>
      <c r="M41" s="765"/>
      <c r="N41" s="765"/>
    </row>
    <row r="42" spans="1:14" ht="14.25" customHeight="1" x14ac:dyDescent="0.25">
      <c r="A42" s="763" t="s">
        <v>1130</v>
      </c>
      <c r="B42" s="763" t="s">
        <v>248</v>
      </c>
      <c r="C42" s="764" t="s">
        <v>249</v>
      </c>
      <c r="D42" s="764" t="s">
        <v>259</v>
      </c>
      <c r="E42" s="764" t="s">
        <v>274</v>
      </c>
      <c r="F42" s="765">
        <f t="shared" si="6"/>
        <v>0</v>
      </c>
      <c r="G42" s="765">
        <f t="shared" si="6"/>
        <v>0</v>
      </c>
      <c r="H42" s="765">
        <f t="shared" si="6"/>
        <v>0</v>
      </c>
      <c r="I42" s="839"/>
      <c r="J42" s="777"/>
      <c r="K42" s="777"/>
      <c r="L42" s="765"/>
      <c r="M42" s="765"/>
      <c r="N42" s="765"/>
    </row>
    <row r="43" spans="1:14" ht="14.25" customHeight="1" x14ac:dyDescent="0.25">
      <c r="A43" s="763" t="s">
        <v>1131</v>
      </c>
      <c r="B43" s="763" t="s">
        <v>248</v>
      </c>
      <c r="C43" s="764" t="s">
        <v>249</v>
      </c>
      <c r="D43" s="764" t="s">
        <v>259</v>
      </c>
      <c r="E43" s="764" t="s">
        <v>274</v>
      </c>
      <c r="F43" s="765">
        <f t="shared" si="6"/>
        <v>0</v>
      </c>
      <c r="G43" s="765">
        <f t="shared" si="6"/>
        <v>0</v>
      </c>
      <c r="H43" s="765">
        <f t="shared" si="6"/>
        <v>0</v>
      </c>
      <c r="I43" s="838"/>
      <c r="J43" s="55"/>
      <c r="K43" s="55"/>
      <c r="L43" s="765"/>
      <c r="M43" s="765"/>
      <c r="N43" s="765"/>
    </row>
    <row r="44" spans="1:14" ht="14.25" customHeight="1" x14ac:dyDescent="0.25">
      <c r="A44" s="763" t="s">
        <v>1132</v>
      </c>
      <c r="B44" s="763" t="s">
        <v>248</v>
      </c>
      <c r="C44" s="764" t="s">
        <v>249</v>
      </c>
      <c r="D44" s="764" t="s">
        <v>259</v>
      </c>
      <c r="E44" s="764" t="s">
        <v>274</v>
      </c>
      <c r="F44" s="765">
        <f t="shared" si="6"/>
        <v>0</v>
      </c>
      <c r="G44" s="765">
        <f t="shared" si="6"/>
        <v>0</v>
      </c>
      <c r="H44" s="765">
        <f t="shared" si="6"/>
        <v>0</v>
      </c>
      <c r="I44" s="838"/>
      <c r="J44" s="55"/>
      <c r="K44" s="55"/>
      <c r="L44" s="765"/>
      <c r="M44" s="765"/>
      <c r="N44" s="765"/>
    </row>
    <row r="45" spans="1:14" ht="14.25" customHeight="1" x14ac:dyDescent="0.25">
      <c r="A45" s="763" t="s">
        <v>1133</v>
      </c>
      <c r="B45" s="763" t="s">
        <v>248</v>
      </c>
      <c r="C45" s="764" t="s">
        <v>249</v>
      </c>
      <c r="D45" s="764" t="s">
        <v>259</v>
      </c>
      <c r="E45" s="764" t="s">
        <v>274</v>
      </c>
      <c r="F45" s="765">
        <f t="shared" si="6"/>
        <v>0</v>
      </c>
      <c r="G45" s="765">
        <f t="shared" si="6"/>
        <v>0</v>
      </c>
      <c r="H45" s="765">
        <f t="shared" si="6"/>
        <v>0</v>
      </c>
      <c r="I45" s="838"/>
      <c r="J45" s="55"/>
      <c r="K45" s="55"/>
      <c r="L45" s="765"/>
      <c r="M45" s="765"/>
      <c r="N45" s="765"/>
    </row>
    <row r="46" spans="1:14" ht="14.25" customHeight="1" x14ac:dyDescent="0.25">
      <c r="A46" s="778" t="s">
        <v>1236</v>
      </c>
      <c r="B46" s="763" t="s">
        <v>248</v>
      </c>
      <c r="C46" s="764" t="s">
        <v>249</v>
      </c>
      <c r="D46" s="764" t="s">
        <v>259</v>
      </c>
      <c r="E46" s="764" t="s">
        <v>274</v>
      </c>
      <c r="F46" s="765">
        <f t="shared" si="6"/>
        <v>0</v>
      </c>
      <c r="G46" s="765">
        <f t="shared" si="6"/>
        <v>0</v>
      </c>
      <c r="H46" s="765">
        <f t="shared" si="6"/>
        <v>0</v>
      </c>
      <c r="I46" s="842"/>
      <c r="J46" s="55"/>
      <c r="K46" s="55"/>
      <c r="L46" s="765"/>
      <c r="M46" s="765"/>
      <c r="N46" s="765"/>
    </row>
    <row r="47" spans="1:14" ht="14.25" customHeight="1" x14ac:dyDescent="0.25">
      <c r="A47" s="763"/>
      <c r="B47" s="763" t="s">
        <v>248</v>
      </c>
      <c r="C47" s="764" t="s">
        <v>249</v>
      </c>
      <c r="D47" s="764" t="s">
        <v>259</v>
      </c>
      <c r="E47" s="764" t="s">
        <v>274</v>
      </c>
      <c r="F47" s="765">
        <f t="shared" si="6"/>
        <v>0</v>
      </c>
      <c r="G47" s="765">
        <f t="shared" si="6"/>
        <v>0</v>
      </c>
      <c r="H47" s="765">
        <f t="shared" si="6"/>
        <v>0</v>
      </c>
      <c r="I47" s="838"/>
      <c r="J47" s="55"/>
      <c r="K47" s="55"/>
      <c r="L47" s="765"/>
      <c r="M47" s="765"/>
      <c r="N47" s="765"/>
    </row>
    <row r="48" spans="1:14" ht="14.25" customHeight="1" x14ac:dyDescent="0.25">
      <c r="A48" s="763"/>
      <c r="B48" s="763" t="s">
        <v>248</v>
      </c>
      <c r="C48" s="764" t="s">
        <v>249</v>
      </c>
      <c r="D48" s="764" t="s">
        <v>259</v>
      </c>
      <c r="E48" s="764" t="s">
        <v>274</v>
      </c>
      <c r="F48" s="765">
        <f t="shared" si="6"/>
        <v>0</v>
      </c>
      <c r="G48" s="765">
        <f t="shared" si="6"/>
        <v>0</v>
      </c>
      <c r="H48" s="765">
        <f t="shared" si="6"/>
        <v>0</v>
      </c>
      <c r="I48" s="838"/>
      <c r="J48" s="55"/>
      <c r="K48" s="55"/>
      <c r="L48" s="765"/>
      <c r="M48" s="765"/>
      <c r="N48" s="765"/>
    </row>
    <row r="49" spans="1:15" ht="14.25" customHeight="1" x14ac:dyDescent="0.25">
      <c r="A49" s="763"/>
      <c r="B49" s="763" t="s">
        <v>248</v>
      </c>
      <c r="C49" s="764" t="s">
        <v>249</v>
      </c>
      <c r="D49" s="764" t="s">
        <v>259</v>
      </c>
      <c r="E49" s="764" t="s">
        <v>274</v>
      </c>
      <c r="F49" s="765">
        <f t="shared" si="6"/>
        <v>0</v>
      </c>
      <c r="G49" s="765">
        <f t="shared" si="6"/>
        <v>0</v>
      </c>
      <c r="H49" s="765">
        <f t="shared" si="6"/>
        <v>0</v>
      </c>
      <c r="I49" s="838"/>
      <c r="J49" s="55"/>
      <c r="K49" s="55"/>
      <c r="L49" s="765"/>
      <c r="M49" s="765"/>
      <c r="N49" s="765"/>
    </row>
    <row r="50" spans="1:15" ht="14.25" customHeight="1" x14ac:dyDescent="0.25">
      <c r="A50" s="763"/>
      <c r="B50" s="763" t="s">
        <v>248</v>
      </c>
      <c r="C50" s="764" t="s">
        <v>249</v>
      </c>
      <c r="D50" s="764" t="s">
        <v>259</v>
      </c>
      <c r="E50" s="764" t="s">
        <v>274</v>
      </c>
      <c r="F50" s="765">
        <f t="shared" si="6"/>
        <v>0</v>
      </c>
      <c r="G50" s="765">
        <f t="shared" si="6"/>
        <v>0</v>
      </c>
      <c r="H50" s="765">
        <f t="shared" si="6"/>
        <v>0</v>
      </c>
      <c r="I50" s="838"/>
      <c r="J50" s="55"/>
      <c r="K50" s="55"/>
      <c r="L50" s="765"/>
      <c r="M50" s="765"/>
      <c r="N50" s="765"/>
    </row>
    <row r="51" spans="1:15" ht="14.25" customHeight="1" x14ac:dyDescent="0.25">
      <c r="A51" s="763"/>
      <c r="B51" s="763" t="s">
        <v>248</v>
      </c>
      <c r="C51" s="764" t="s">
        <v>249</v>
      </c>
      <c r="D51" s="764" t="s">
        <v>259</v>
      </c>
      <c r="E51" s="764" t="s">
        <v>274</v>
      </c>
      <c r="F51" s="765">
        <f t="shared" si="6"/>
        <v>0</v>
      </c>
      <c r="G51" s="765">
        <f t="shared" si="6"/>
        <v>0</v>
      </c>
      <c r="H51" s="765">
        <f t="shared" si="6"/>
        <v>0</v>
      </c>
      <c r="I51" s="838"/>
      <c r="J51" s="55"/>
      <c r="K51" s="55"/>
      <c r="L51" s="765"/>
      <c r="M51" s="765"/>
      <c r="N51" s="765"/>
    </row>
    <row r="52" spans="1:15" ht="14.25" customHeight="1" x14ac:dyDescent="0.25">
      <c r="A52" s="763"/>
      <c r="B52" s="763" t="s">
        <v>248</v>
      </c>
      <c r="C52" s="764" t="s">
        <v>249</v>
      </c>
      <c r="D52" s="764" t="s">
        <v>259</v>
      </c>
      <c r="E52" s="764" t="s">
        <v>274</v>
      </c>
      <c r="F52" s="765">
        <f t="shared" si="6"/>
        <v>0</v>
      </c>
      <c r="G52" s="765">
        <f t="shared" si="6"/>
        <v>0</v>
      </c>
      <c r="H52" s="765">
        <f t="shared" si="6"/>
        <v>0</v>
      </c>
      <c r="I52" s="838"/>
      <c r="J52" s="55"/>
      <c r="K52" s="55"/>
      <c r="L52" s="765"/>
      <c r="M52" s="765"/>
      <c r="N52" s="765"/>
    </row>
    <row r="53" spans="1:15" ht="14.25" customHeight="1" x14ac:dyDescent="0.25">
      <c r="A53" s="763"/>
      <c r="B53" s="763" t="s">
        <v>248</v>
      </c>
      <c r="C53" s="764" t="s">
        <v>249</v>
      </c>
      <c r="D53" s="764" t="s">
        <v>259</v>
      </c>
      <c r="E53" s="764" t="s">
        <v>274</v>
      </c>
      <c r="F53" s="765">
        <f t="shared" si="6"/>
        <v>0</v>
      </c>
      <c r="G53" s="765">
        <f t="shared" si="6"/>
        <v>0</v>
      </c>
      <c r="H53" s="765">
        <f t="shared" si="6"/>
        <v>0</v>
      </c>
      <c r="I53" s="838"/>
      <c r="J53" s="55"/>
      <c r="K53" s="55"/>
      <c r="L53" s="765"/>
      <c r="M53" s="765"/>
      <c r="N53" s="765"/>
    </row>
    <row r="54" spans="1:15" ht="14.25" customHeight="1" x14ac:dyDescent="0.25">
      <c r="A54" s="763"/>
      <c r="B54" s="763" t="s">
        <v>248</v>
      </c>
      <c r="C54" s="764" t="s">
        <v>249</v>
      </c>
      <c r="D54" s="764" t="s">
        <v>259</v>
      </c>
      <c r="E54" s="764" t="s">
        <v>274</v>
      </c>
      <c r="F54" s="765">
        <f t="shared" si="6"/>
        <v>0</v>
      </c>
      <c r="G54" s="765">
        <f t="shared" si="6"/>
        <v>0</v>
      </c>
      <c r="H54" s="765">
        <f t="shared" si="6"/>
        <v>0</v>
      </c>
      <c r="I54" s="838"/>
      <c r="J54" s="55"/>
      <c r="K54" s="55"/>
      <c r="L54" s="765"/>
      <c r="M54" s="765"/>
      <c r="N54" s="765"/>
    </row>
    <row r="55" spans="1:15" ht="14.25" customHeight="1" x14ac:dyDescent="0.25">
      <c r="A55" s="763"/>
      <c r="B55" s="763" t="s">
        <v>248</v>
      </c>
      <c r="C55" s="764" t="s">
        <v>249</v>
      </c>
      <c r="D55" s="764" t="s">
        <v>259</v>
      </c>
      <c r="E55" s="764" t="s">
        <v>274</v>
      </c>
      <c r="F55" s="765">
        <f t="shared" si="6"/>
        <v>0</v>
      </c>
      <c r="G55" s="765">
        <f t="shared" si="6"/>
        <v>0</v>
      </c>
      <c r="H55" s="765">
        <f t="shared" si="6"/>
        <v>0</v>
      </c>
      <c r="I55" s="838"/>
      <c r="J55" s="55"/>
      <c r="K55" s="55"/>
      <c r="L55" s="765"/>
      <c r="M55" s="765"/>
      <c r="N55" s="765"/>
    </row>
    <row r="56" spans="1:15" ht="14.25" customHeight="1" x14ac:dyDescent="0.25">
      <c r="A56" s="763" t="s">
        <v>290</v>
      </c>
      <c r="B56" s="763" t="s">
        <v>248</v>
      </c>
      <c r="C56" s="764" t="s">
        <v>249</v>
      </c>
      <c r="D56" s="764" t="s">
        <v>259</v>
      </c>
      <c r="E56" s="764" t="s">
        <v>274</v>
      </c>
      <c r="F56" s="765">
        <f>I56+L56</f>
        <v>0</v>
      </c>
      <c r="G56" s="765">
        <f t="shared" si="6"/>
        <v>0</v>
      </c>
      <c r="H56" s="765">
        <f t="shared" si="6"/>
        <v>0</v>
      </c>
      <c r="I56" s="838"/>
      <c r="J56" s="55"/>
      <c r="K56" s="55"/>
      <c r="L56" s="765"/>
      <c r="M56" s="765"/>
      <c r="N56" s="765"/>
    </row>
    <row r="57" spans="1:15" s="745" customFormat="1" ht="14.25" customHeight="1" x14ac:dyDescent="0.25">
      <c r="A57" s="767" t="s">
        <v>1135</v>
      </c>
      <c r="B57" s="767"/>
      <c r="C57" s="768"/>
      <c r="D57" s="768" t="s">
        <v>259</v>
      </c>
      <c r="E57" s="768" t="s">
        <v>274</v>
      </c>
      <c r="F57" s="769">
        <f>SUM(F58:F59)</f>
        <v>0</v>
      </c>
      <c r="G57" s="769">
        <f t="shared" ref="G57:N57" si="7">SUM(G58:G59)</f>
        <v>0</v>
      </c>
      <c r="H57" s="769">
        <f t="shared" si="7"/>
        <v>0</v>
      </c>
      <c r="I57" s="779">
        <f t="shared" si="7"/>
        <v>0</v>
      </c>
      <c r="J57" s="769">
        <f t="shared" si="7"/>
        <v>0</v>
      </c>
      <c r="K57" s="769">
        <f t="shared" si="7"/>
        <v>0</v>
      </c>
      <c r="L57" s="769">
        <f t="shared" si="7"/>
        <v>0</v>
      </c>
      <c r="M57" s="769">
        <f t="shared" si="7"/>
        <v>0</v>
      </c>
      <c r="N57" s="769">
        <f t="shared" si="7"/>
        <v>0</v>
      </c>
      <c r="O57" s="750"/>
    </row>
    <row r="58" spans="1:15" ht="27.6" x14ac:dyDescent="0.25">
      <c r="A58" s="763" t="s">
        <v>1136</v>
      </c>
      <c r="B58" s="763"/>
      <c r="C58" s="764" t="s">
        <v>291</v>
      </c>
      <c r="D58" s="764" t="s">
        <v>259</v>
      </c>
      <c r="E58" s="764" t="s">
        <v>252</v>
      </c>
      <c r="F58" s="765">
        <f t="shared" ref="F58:H59" si="8">I58+L58</f>
        <v>0</v>
      </c>
      <c r="G58" s="765">
        <f t="shared" si="8"/>
        <v>0</v>
      </c>
      <c r="H58" s="765">
        <f t="shared" si="8"/>
        <v>0</v>
      </c>
      <c r="I58" s="838"/>
      <c r="J58" s="55"/>
      <c r="K58" s="55"/>
      <c r="L58" s="765"/>
      <c r="M58" s="765"/>
      <c r="N58" s="765"/>
    </row>
    <row r="59" spans="1:15" x14ac:dyDescent="0.25">
      <c r="A59" s="763" t="s">
        <v>1137</v>
      </c>
      <c r="B59" s="763"/>
      <c r="C59" s="764" t="s">
        <v>291</v>
      </c>
      <c r="D59" s="764" t="s">
        <v>259</v>
      </c>
      <c r="E59" s="764" t="s">
        <v>252</v>
      </c>
      <c r="F59" s="765">
        <f t="shared" si="8"/>
        <v>0</v>
      </c>
      <c r="G59" s="765">
        <f t="shared" si="8"/>
        <v>0</v>
      </c>
      <c r="H59" s="765">
        <f t="shared" si="8"/>
        <v>0</v>
      </c>
      <c r="I59" s="838"/>
      <c r="J59" s="55"/>
      <c r="K59" s="55"/>
      <c r="L59" s="765"/>
      <c r="M59" s="765"/>
      <c r="N59" s="765"/>
    </row>
    <row r="60" spans="1:15" s="745" customFormat="1" ht="18" customHeight="1" x14ac:dyDescent="0.25">
      <c r="A60" s="767" t="s">
        <v>292</v>
      </c>
      <c r="B60" s="767"/>
      <c r="C60" s="768"/>
      <c r="D60" s="768" t="s">
        <v>259</v>
      </c>
      <c r="E60" s="768" t="s">
        <v>252</v>
      </c>
      <c r="F60" s="62">
        <f>SUM(F61:F82)</f>
        <v>73940</v>
      </c>
      <c r="G60" s="62">
        <f t="shared" ref="G60:N60" si="9">SUM(G61:G82)</f>
        <v>96360</v>
      </c>
      <c r="H60" s="62">
        <f t="shared" si="9"/>
        <v>96360</v>
      </c>
      <c r="I60" s="837">
        <f>SUM(I61:I82)</f>
        <v>73940</v>
      </c>
      <c r="J60" s="62">
        <f>SUM(J61:J82)</f>
        <v>96360</v>
      </c>
      <c r="K60" s="62">
        <f>SUM(K61:K82)</f>
        <v>96360</v>
      </c>
      <c r="L60" s="62">
        <f t="shared" si="9"/>
        <v>0</v>
      </c>
      <c r="M60" s="62">
        <f t="shared" si="9"/>
        <v>0</v>
      </c>
      <c r="N60" s="62">
        <f t="shared" si="9"/>
        <v>0</v>
      </c>
      <c r="O60" s="750"/>
    </row>
    <row r="61" spans="1:15" s="766" customFormat="1" x14ac:dyDescent="0.25">
      <c r="A61" s="763" t="s">
        <v>293</v>
      </c>
      <c r="B61" s="763"/>
      <c r="C61" s="764" t="s">
        <v>294</v>
      </c>
      <c r="D61" s="764" t="s">
        <v>259</v>
      </c>
      <c r="E61" s="764" t="s">
        <v>252</v>
      </c>
      <c r="F61" s="765">
        <f>I61+L61</f>
        <v>61400</v>
      </c>
      <c r="G61" s="765">
        <f>J61+M61</f>
        <v>96360</v>
      </c>
      <c r="H61" s="765">
        <f>K61+N61</f>
        <v>96360</v>
      </c>
      <c r="I61" s="838">
        <f>96360-8330+4340-5000-25970</f>
        <v>61400</v>
      </c>
      <c r="J61" s="55">
        <v>96360</v>
      </c>
      <c r="K61" s="55">
        <v>96360</v>
      </c>
      <c r="L61" s="765"/>
      <c r="M61" s="765"/>
      <c r="N61" s="765"/>
      <c r="O61" s="750"/>
    </row>
    <row r="62" spans="1:15" ht="14.25" customHeight="1" x14ac:dyDescent="0.25">
      <c r="A62" s="763" t="s">
        <v>295</v>
      </c>
      <c r="B62" s="763" t="s">
        <v>248</v>
      </c>
      <c r="C62" s="764" t="s">
        <v>249</v>
      </c>
      <c r="D62" s="764" t="s">
        <v>259</v>
      </c>
      <c r="E62" s="764" t="s">
        <v>252</v>
      </c>
      <c r="F62" s="765">
        <f t="shared" si="6"/>
        <v>0</v>
      </c>
      <c r="G62" s="765">
        <f t="shared" si="6"/>
        <v>0</v>
      </c>
      <c r="H62" s="765">
        <f t="shared" si="6"/>
        <v>0</v>
      </c>
      <c r="I62" s="838"/>
      <c r="J62" s="55"/>
      <c r="K62" s="55"/>
      <c r="L62" s="765"/>
      <c r="M62" s="765"/>
      <c r="N62" s="765"/>
    </row>
    <row r="63" spans="1:15" ht="14.25" customHeight="1" x14ac:dyDescent="0.25">
      <c r="A63" s="763" t="s">
        <v>839</v>
      </c>
      <c r="B63" s="763" t="s">
        <v>248</v>
      </c>
      <c r="C63" s="764" t="s">
        <v>249</v>
      </c>
      <c r="D63" s="764" t="s">
        <v>259</v>
      </c>
      <c r="E63" s="764" t="s">
        <v>252</v>
      </c>
      <c r="F63" s="765">
        <f t="shared" si="6"/>
        <v>0</v>
      </c>
      <c r="G63" s="765">
        <f t="shared" si="6"/>
        <v>0</v>
      </c>
      <c r="H63" s="765">
        <f t="shared" si="6"/>
        <v>0</v>
      </c>
      <c r="I63" s="841"/>
      <c r="J63" s="55"/>
      <c r="K63" s="55"/>
      <c r="L63" s="765"/>
      <c r="M63" s="765"/>
      <c r="N63" s="765"/>
    </row>
    <row r="64" spans="1:15" ht="14.25" customHeight="1" x14ac:dyDescent="0.25">
      <c r="A64" s="763" t="s">
        <v>296</v>
      </c>
      <c r="B64" s="763" t="s">
        <v>248</v>
      </c>
      <c r="C64" s="764" t="s">
        <v>249</v>
      </c>
      <c r="D64" s="764" t="s">
        <v>259</v>
      </c>
      <c r="E64" s="764" t="s">
        <v>252</v>
      </c>
      <c r="F64" s="765">
        <f t="shared" si="6"/>
        <v>0</v>
      </c>
      <c r="G64" s="765">
        <f t="shared" si="6"/>
        <v>0</v>
      </c>
      <c r="H64" s="765">
        <f t="shared" si="6"/>
        <v>0</v>
      </c>
      <c r="I64" s="838"/>
      <c r="J64" s="55"/>
      <c r="K64" s="55"/>
      <c r="L64" s="765"/>
      <c r="M64" s="765"/>
      <c r="N64" s="765"/>
    </row>
    <row r="65" spans="1:14" ht="14.25" customHeight="1" x14ac:dyDescent="0.25">
      <c r="A65" s="763" t="s">
        <v>297</v>
      </c>
      <c r="B65" s="763" t="s">
        <v>248</v>
      </c>
      <c r="C65" s="764" t="s">
        <v>249</v>
      </c>
      <c r="D65" s="764" t="s">
        <v>259</v>
      </c>
      <c r="E65" s="764" t="s">
        <v>252</v>
      </c>
      <c r="F65" s="765">
        <f t="shared" si="6"/>
        <v>0</v>
      </c>
      <c r="G65" s="765">
        <f t="shared" si="6"/>
        <v>0</v>
      </c>
      <c r="H65" s="765">
        <f t="shared" si="6"/>
        <v>0</v>
      </c>
      <c r="I65" s="838"/>
      <c r="J65" s="55"/>
      <c r="K65" s="55"/>
      <c r="L65" s="765"/>
      <c r="M65" s="765"/>
      <c r="N65" s="765"/>
    </row>
    <row r="66" spans="1:14" ht="14.25" customHeight="1" x14ac:dyDescent="0.25">
      <c r="A66" s="763" t="s">
        <v>1138</v>
      </c>
      <c r="B66" s="763" t="s">
        <v>248</v>
      </c>
      <c r="C66" s="764" t="s">
        <v>249</v>
      </c>
      <c r="D66" s="764" t="s">
        <v>259</v>
      </c>
      <c r="E66" s="764" t="s">
        <v>252</v>
      </c>
      <c r="F66" s="765">
        <f t="shared" si="6"/>
        <v>0</v>
      </c>
      <c r="G66" s="765">
        <f t="shared" si="6"/>
        <v>0</v>
      </c>
      <c r="H66" s="765">
        <f t="shared" si="6"/>
        <v>0</v>
      </c>
      <c r="I66" s="838"/>
      <c r="J66" s="55"/>
      <c r="K66" s="55"/>
      <c r="L66" s="765"/>
      <c r="M66" s="765"/>
      <c r="N66" s="765"/>
    </row>
    <row r="67" spans="1:14" ht="14.25" customHeight="1" x14ac:dyDescent="0.25">
      <c r="A67" s="763" t="s">
        <v>298</v>
      </c>
      <c r="B67" s="763" t="s">
        <v>248</v>
      </c>
      <c r="C67" s="764" t="s">
        <v>249</v>
      </c>
      <c r="D67" s="764" t="s">
        <v>259</v>
      </c>
      <c r="E67" s="764" t="s">
        <v>252</v>
      </c>
      <c r="F67" s="765">
        <f t="shared" si="6"/>
        <v>0</v>
      </c>
      <c r="G67" s="765">
        <f t="shared" si="6"/>
        <v>0</v>
      </c>
      <c r="H67" s="765">
        <f t="shared" si="6"/>
        <v>0</v>
      </c>
      <c r="I67" s="838"/>
      <c r="J67" s="55"/>
      <c r="K67" s="55"/>
      <c r="L67" s="765"/>
      <c r="M67" s="765"/>
      <c r="N67" s="765"/>
    </row>
    <row r="68" spans="1:14" ht="14.25" customHeight="1" x14ac:dyDescent="0.25">
      <c r="A68" s="763" t="s">
        <v>299</v>
      </c>
      <c r="B68" s="763" t="s">
        <v>248</v>
      </c>
      <c r="C68" s="764" t="s">
        <v>249</v>
      </c>
      <c r="D68" s="764" t="s">
        <v>259</v>
      </c>
      <c r="E68" s="764" t="s">
        <v>252</v>
      </c>
      <c r="F68" s="765">
        <f t="shared" si="6"/>
        <v>0</v>
      </c>
      <c r="G68" s="765">
        <f t="shared" si="6"/>
        <v>0</v>
      </c>
      <c r="H68" s="765">
        <f t="shared" si="6"/>
        <v>0</v>
      </c>
      <c r="I68" s="838"/>
      <c r="J68" s="55"/>
      <c r="K68" s="55"/>
      <c r="L68" s="765"/>
      <c r="M68" s="765"/>
      <c r="N68" s="765"/>
    </row>
    <row r="69" spans="1:14" ht="14.25" customHeight="1" x14ac:dyDescent="0.25">
      <c r="A69" s="763" t="s">
        <v>1139</v>
      </c>
      <c r="B69" s="763" t="s">
        <v>248</v>
      </c>
      <c r="C69" s="764" t="s">
        <v>249</v>
      </c>
      <c r="D69" s="764" t="s">
        <v>259</v>
      </c>
      <c r="E69" s="764" t="s">
        <v>252</v>
      </c>
      <c r="F69" s="765">
        <f>I69+L69</f>
        <v>0</v>
      </c>
      <c r="G69" s="765">
        <f>J69+M69</f>
        <v>0</v>
      </c>
      <c r="H69" s="765">
        <f t="shared" si="6"/>
        <v>0</v>
      </c>
      <c r="I69" s="838"/>
      <c r="J69" s="55"/>
      <c r="K69" s="55"/>
      <c r="L69" s="765"/>
      <c r="M69" s="765"/>
      <c r="N69" s="765"/>
    </row>
    <row r="70" spans="1:14" ht="14.25" customHeight="1" x14ac:dyDescent="0.25">
      <c r="A70" s="763" t="s">
        <v>1168</v>
      </c>
      <c r="B70" s="763" t="s">
        <v>248</v>
      </c>
      <c r="C70" s="764" t="s">
        <v>249</v>
      </c>
      <c r="D70" s="764" t="s">
        <v>259</v>
      </c>
      <c r="E70" s="764" t="s">
        <v>252</v>
      </c>
      <c r="F70" s="765">
        <f t="shared" ref="F70:G81" si="10">I70+L70</f>
        <v>0</v>
      </c>
      <c r="G70" s="765">
        <f t="shared" si="10"/>
        <v>0</v>
      </c>
      <c r="H70" s="765">
        <f t="shared" si="6"/>
        <v>0</v>
      </c>
      <c r="I70" s="841"/>
      <c r="J70" s="55"/>
      <c r="K70" s="55"/>
      <c r="L70" s="765"/>
      <c r="M70" s="765"/>
      <c r="N70" s="765"/>
    </row>
    <row r="71" spans="1:14" ht="14.25" customHeight="1" x14ac:dyDescent="0.25">
      <c r="A71" s="763" t="s">
        <v>1140</v>
      </c>
      <c r="B71" s="763" t="s">
        <v>248</v>
      </c>
      <c r="C71" s="764" t="s">
        <v>249</v>
      </c>
      <c r="D71" s="764" t="s">
        <v>259</v>
      </c>
      <c r="E71" s="764" t="s">
        <v>252</v>
      </c>
      <c r="F71" s="765">
        <f t="shared" si="10"/>
        <v>12540</v>
      </c>
      <c r="G71" s="765">
        <f t="shared" si="10"/>
        <v>0</v>
      </c>
      <c r="H71" s="765">
        <f t="shared" si="6"/>
        <v>0</v>
      </c>
      <c r="I71" s="838">
        <v>12540</v>
      </c>
      <c r="J71" s="55"/>
      <c r="K71" s="55"/>
      <c r="L71" s="765"/>
      <c r="M71" s="765"/>
      <c r="N71" s="765"/>
    </row>
    <row r="72" spans="1:14" ht="14.25" customHeight="1" x14ac:dyDescent="0.25">
      <c r="A72" s="763" t="s">
        <v>1141</v>
      </c>
      <c r="B72" s="763" t="s">
        <v>248</v>
      </c>
      <c r="C72" s="764" t="s">
        <v>249</v>
      </c>
      <c r="D72" s="764" t="s">
        <v>259</v>
      </c>
      <c r="E72" s="764" t="s">
        <v>252</v>
      </c>
      <c r="F72" s="765">
        <f t="shared" si="10"/>
        <v>0</v>
      </c>
      <c r="G72" s="765">
        <f t="shared" si="10"/>
        <v>0</v>
      </c>
      <c r="H72" s="765">
        <f t="shared" si="6"/>
        <v>0</v>
      </c>
      <c r="I72" s="838"/>
      <c r="J72" s="55"/>
      <c r="K72" s="55"/>
      <c r="L72" s="765"/>
      <c r="M72" s="765"/>
      <c r="N72" s="765"/>
    </row>
    <row r="73" spans="1:14" ht="14.25" customHeight="1" x14ac:dyDescent="0.25">
      <c r="A73" s="763" t="s">
        <v>1237</v>
      </c>
      <c r="B73" s="763" t="s">
        <v>248</v>
      </c>
      <c r="C73" s="764" t="s">
        <v>249</v>
      </c>
      <c r="D73" s="764" t="s">
        <v>259</v>
      </c>
      <c r="E73" s="764" t="s">
        <v>252</v>
      </c>
      <c r="F73" s="765">
        <f t="shared" si="10"/>
        <v>0</v>
      </c>
      <c r="G73" s="765">
        <f t="shared" si="10"/>
        <v>0</v>
      </c>
      <c r="H73" s="765">
        <f t="shared" si="6"/>
        <v>0</v>
      </c>
      <c r="I73" s="838"/>
      <c r="J73" s="55"/>
      <c r="K73" s="55"/>
      <c r="L73" s="765"/>
      <c r="M73" s="765"/>
      <c r="N73" s="765"/>
    </row>
    <row r="74" spans="1:14" s="783" customFormat="1" ht="14.25" customHeight="1" x14ac:dyDescent="0.25">
      <c r="A74" s="778" t="s">
        <v>1238</v>
      </c>
      <c r="B74" s="778" t="s">
        <v>248</v>
      </c>
      <c r="C74" s="780" t="s">
        <v>249</v>
      </c>
      <c r="D74" s="780" t="s">
        <v>259</v>
      </c>
      <c r="E74" s="780" t="s">
        <v>252</v>
      </c>
      <c r="F74" s="781">
        <f t="shared" si="10"/>
        <v>0</v>
      </c>
      <c r="G74" s="781">
        <f t="shared" si="10"/>
        <v>0</v>
      </c>
      <c r="H74" s="781">
        <f t="shared" si="6"/>
        <v>0</v>
      </c>
      <c r="I74" s="842"/>
      <c r="J74" s="782"/>
      <c r="K74" s="782"/>
      <c r="L74" s="781"/>
      <c r="M74" s="781"/>
      <c r="N74" s="781"/>
    </row>
    <row r="75" spans="1:14" ht="14.25" customHeight="1" x14ac:dyDescent="0.25">
      <c r="A75" s="763"/>
      <c r="B75" s="763" t="s">
        <v>248</v>
      </c>
      <c r="C75" s="764" t="s">
        <v>249</v>
      </c>
      <c r="D75" s="764" t="s">
        <v>259</v>
      </c>
      <c r="E75" s="764" t="s">
        <v>252</v>
      </c>
      <c r="F75" s="765">
        <f t="shared" si="10"/>
        <v>0</v>
      </c>
      <c r="G75" s="765">
        <f t="shared" si="10"/>
        <v>0</v>
      </c>
      <c r="H75" s="765">
        <f t="shared" si="6"/>
        <v>0</v>
      </c>
      <c r="I75" s="838"/>
      <c r="J75" s="55"/>
      <c r="K75" s="55"/>
      <c r="L75" s="765"/>
      <c r="M75" s="765"/>
      <c r="N75" s="765"/>
    </row>
    <row r="76" spans="1:14" ht="14.25" customHeight="1" x14ac:dyDescent="0.25">
      <c r="A76" s="763"/>
      <c r="B76" s="763" t="s">
        <v>248</v>
      </c>
      <c r="C76" s="764" t="s">
        <v>249</v>
      </c>
      <c r="D76" s="764" t="s">
        <v>259</v>
      </c>
      <c r="E76" s="764" t="s">
        <v>252</v>
      </c>
      <c r="F76" s="765">
        <f t="shared" si="10"/>
        <v>0</v>
      </c>
      <c r="G76" s="765">
        <f t="shared" si="10"/>
        <v>0</v>
      </c>
      <c r="H76" s="765">
        <f t="shared" si="6"/>
        <v>0</v>
      </c>
      <c r="I76" s="838"/>
      <c r="J76" s="55"/>
      <c r="K76" s="55"/>
      <c r="L76" s="765"/>
      <c r="M76" s="765"/>
      <c r="N76" s="765"/>
    </row>
    <row r="77" spans="1:14" ht="14.25" customHeight="1" x14ac:dyDescent="0.25">
      <c r="A77" s="763"/>
      <c r="B77" s="763" t="s">
        <v>248</v>
      </c>
      <c r="C77" s="764" t="s">
        <v>249</v>
      </c>
      <c r="D77" s="764" t="s">
        <v>259</v>
      </c>
      <c r="E77" s="764" t="s">
        <v>252</v>
      </c>
      <c r="F77" s="765">
        <f t="shared" si="10"/>
        <v>0</v>
      </c>
      <c r="G77" s="765">
        <f t="shared" si="10"/>
        <v>0</v>
      </c>
      <c r="H77" s="765">
        <f t="shared" si="6"/>
        <v>0</v>
      </c>
      <c r="I77" s="838"/>
      <c r="J77" s="55"/>
      <c r="K77" s="55"/>
      <c r="L77" s="765"/>
      <c r="M77" s="765"/>
      <c r="N77" s="765"/>
    </row>
    <row r="78" spans="1:14" ht="14.25" customHeight="1" x14ac:dyDescent="0.25">
      <c r="A78" s="763"/>
      <c r="B78" s="763" t="s">
        <v>248</v>
      </c>
      <c r="C78" s="764" t="s">
        <v>249</v>
      </c>
      <c r="D78" s="764" t="s">
        <v>259</v>
      </c>
      <c r="E78" s="764" t="s">
        <v>252</v>
      </c>
      <c r="F78" s="765">
        <f t="shared" si="10"/>
        <v>0</v>
      </c>
      <c r="G78" s="765">
        <f t="shared" si="10"/>
        <v>0</v>
      </c>
      <c r="H78" s="765">
        <f t="shared" si="6"/>
        <v>0</v>
      </c>
      <c r="I78" s="838"/>
      <c r="J78" s="55"/>
      <c r="K78" s="55"/>
      <c r="L78" s="765"/>
      <c r="M78" s="765"/>
      <c r="N78" s="765"/>
    </row>
    <row r="79" spans="1:14" ht="14.25" customHeight="1" x14ac:dyDescent="0.25">
      <c r="A79" s="763"/>
      <c r="B79" s="763" t="s">
        <v>248</v>
      </c>
      <c r="C79" s="764" t="s">
        <v>249</v>
      </c>
      <c r="D79" s="764" t="s">
        <v>259</v>
      </c>
      <c r="E79" s="764" t="s">
        <v>252</v>
      </c>
      <c r="F79" s="765">
        <f t="shared" si="10"/>
        <v>0</v>
      </c>
      <c r="G79" s="765">
        <f t="shared" si="10"/>
        <v>0</v>
      </c>
      <c r="H79" s="765">
        <f t="shared" si="6"/>
        <v>0</v>
      </c>
      <c r="I79" s="838"/>
      <c r="J79" s="55"/>
      <c r="K79" s="55"/>
      <c r="L79" s="765"/>
      <c r="M79" s="765"/>
      <c r="N79" s="765"/>
    </row>
    <row r="80" spans="1:14" ht="14.25" customHeight="1" x14ac:dyDescent="0.25">
      <c r="A80" s="763"/>
      <c r="B80" s="763" t="s">
        <v>248</v>
      </c>
      <c r="C80" s="764" t="s">
        <v>249</v>
      </c>
      <c r="D80" s="764" t="s">
        <v>259</v>
      </c>
      <c r="E80" s="764" t="s">
        <v>252</v>
      </c>
      <c r="F80" s="765">
        <f t="shared" si="10"/>
        <v>0</v>
      </c>
      <c r="G80" s="765">
        <f t="shared" si="10"/>
        <v>0</v>
      </c>
      <c r="H80" s="765">
        <f t="shared" si="6"/>
        <v>0</v>
      </c>
      <c r="I80" s="838"/>
      <c r="J80" s="55"/>
      <c r="K80" s="55"/>
      <c r="L80" s="765"/>
      <c r="M80" s="765"/>
      <c r="N80" s="765"/>
    </row>
    <row r="81" spans="1:15" ht="14.25" customHeight="1" x14ac:dyDescent="0.25">
      <c r="A81" s="763"/>
      <c r="B81" s="763" t="s">
        <v>248</v>
      </c>
      <c r="C81" s="764" t="s">
        <v>249</v>
      </c>
      <c r="D81" s="764" t="s">
        <v>259</v>
      </c>
      <c r="E81" s="764" t="s">
        <v>252</v>
      </c>
      <c r="F81" s="765">
        <f t="shared" si="10"/>
        <v>0</v>
      </c>
      <c r="G81" s="765">
        <f t="shared" si="10"/>
        <v>0</v>
      </c>
      <c r="H81" s="765">
        <f t="shared" si="6"/>
        <v>0</v>
      </c>
      <c r="I81" s="838"/>
      <c r="J81" s="55"/>
      <c r="K81" s="55"/>
      <c r="L81" s="765"/>
      <c r="M81" s="765"/>
      <c r="N81" s="765"/>
    </row>
    <row r="82" spans="1:15" ht="14.25" customHeight="1" x14ac:dyDescent="0.25">
      <c r="A82" s="763" t="s">
        <v>300</v>
      </c>
      <c r="B82" s="763" t="s">
        <v>248</v>
      </c>
      <c r="C82" s="764" t="s">
        <v>249</v>
      </c>
      <c r="D82" s="764" t="s">
        <v>259</v>
      </c>
      <c r="E82" s="764" t="s">
        <v>252</v>
      </c>
      <c r="F82" s="765">
        <f t="shared" si="6"/>
        <v>0</v>
      </c>
      <c r="G82" s="765">
        <f t="shared" si="6"/>
        <v>0</v>
      </c>
      <c r="H82" s="765">
        <f t="shared" si="6"/>
        <v>0</v>
      </c>
      <c r="I82" s="838"/>
      <c r="J82" s="55"/>
      <c r="K82" s="55"/>
      <c r="L82" s="765"/>
      <c r="M82" s="765"/>
      <c r="N82" s="765"/>
    </row>
    <row r="83" spans="1:15" s="771" customFormat="1" ht="16.5" customHeight="1" x14ac:dyDescent="0.25">
      <c r="A83" s="774" t="s">
        <v>1142</v>
      </c>
      <c r="B83" s="767" t="s">
        <v>248</v>
      </c>
      <c r="C83" s="768" t="s">
        <v>249</v>
      </c>
      <c r="D83" s="775" t="s">
        <v>259</v>
      </c>
      <c r="E83" s="768" t="s">
        <v>1143</v>
      </c>
      <c r="F83" s="769">
        <f>F84</f>
        <v>0</v>
      </c>
      <c r="G83" s="769">
        <f t="shared" ref="G83:N83" si="11">G84</f>
        <v>0</v>
      </c>
      <c r="H83" s="769">
        <f t="shared" si="11"/>
        <v>0</v>
      </c>
      <c r="I83" s="779">
        <f t="shared" si="11"/>
        <v>0</v>
      </c>
      <c r="J83" s="769">
        <f t="shared" si="11"/>
        <v>0</v>
      </c>
      <c r="K83" s="769">
        <f t="shared" si="11"/>
        <v>0</v>
      </c>
      <c r="L83" s="769">
        <f t="shared" si="11"/>
        <v>0</v>
      </c>
      <c r="M83" s="769">
        <f t="shared" si="11"/>
        <v>0</v>
      </c>
      <c r="N83" s="769">
        <f t="shared" si="11"/>
        <v>0</v>
      </c>
      <c r="O83" s="750"/>
    </row>
    <row r="84" spans="1:15" s="766" customFormat="1" x14ac:dyDescent="0.25">
      <c r="A84" s="763" t="s">
        <v>1144</v>
      </c>
      <c r="B84" s="763" t="s">
        <v>248</v>
      </c>
      <c r="C84" s="764" t="s">
        <v>249</v>
      </c>
      <c r="D84" s="764" t="s">
        <v>259</v>
      </c>
      <c r="E84" s="764" t="s">
        <v>1143</v>
      </c>
      <c r="F84" s="765">
        <f>I84+L84</f>
        <v>0</v>
      </c>
      <c r="G84" s="765">
        <f>J84+M84</f>
        <v>0</v>
      </c>
      <c r="H84" s="765">
        <f>K84+N84</f>
        <v>0</v>
      </c>
      <c r="I84" s="838"/>
      <c r="J84" s="55"/>
      <c r="K84" s="55"/>
      <c r="L84" s="765"/>
      <c r="M84" s="765"/>
      <c r="N84" s="765"/>
      <c r="O84" s="750"/>
    </row>
    <row r="85" spans="1:15" x14ac:dyDescent="0.25">
      <c r="A85" s="767" t="s">
        <v>301</v>
      </c>
      <c r="B85" s="767" t="s">
        <v>248</v>
      </c>
      <c r="C85" s="768" t="s">
        <v>249</v>
      </c>
      <c r="D85" s="768" t="s">
        <v>302</v>
      </c>
      <c r="E85" s="768" t="s">
        <v>303</v>
      </c>
      <c r="F85" s="769">
        <f t="shared" si="6"/>
        <v>0</v>
      </c>
      <c r="G85" s="769">
        <f t="shared" si="6"/>
        <v>0</v>
      </c>
      <c r="H85" s="769">
        <f t="shared" si="6"/>
        <v>0</v>
      </c>
      <c r="I85" s="837"/>
      <c r="J85" s="62"/>
      <c r="K85" s="62"/>
      <c r="L85" s="769"/>
      <c r="M85" s="769"/>
      <c r="N85" s="769"/>
    </row>
    <row r="86" spans="1:15" s="766" customFormat="1" x14ac:dyDescent="0.25">
      <c r="A86" s="763" t="s">
        <v>304</v>
      </c>
      <c r="B86" s="763" t="s">
        <v>248</v>
      </c>
      <c r="C86" s="764" t="s">
        <v>305</v>
      </c>
      <c r="D86" s="764" t="s">
        <v>306</v>
      </c>
      <c r="E86" s="764" t="s">
        <v>307</v>
      </c>
      <c r="F86" s="765">
        <f t="shared" ref="F86:H101" si="12">I86+L86</f>
        <v>0</v>
      </c>
      <c r="G86" s="765">
        <f t="shared" si="12"/>
        <v>0</v>
      </c>
      <c r="H86" s="765">
        <f t="shared" si="12"/>
        <v>0</v>
      </c>
      <c r="I86" s="838"/>
      <c r="J86" s="55"/>
      <c r="K86" s="55"/>
      <c r="L86" s="765"/>
      <c r="M86" s="765"/>
      <c r="N86" s="765"/>
      <c r="O86" s="750"/>
    </row>
    <row r="87" spans="1:15" s="766" customFormat="1" x14ac:dyDescent="0.25">
      <c r="A87" s="763" t="s">
        <v>308</v>
      </c>
      <c r="B87" s="763" t="s">
        <v>248</v>
      </c>
      <c r="C87" s="764" t="s">
        <v>249</v>
      </c>
      <c r="D87" s="764" t="s">
        <v>309</v>
      </c>
      <c r="E87" s="764" t="s">
        <v>1173</v>
      </c>
      <c r="F87" s="765">
        <f t="shared" si="12"/>
        <v>0</v>
      </c>
      <c r="G87" s="765">
        <f t="shared" si="12"/>
        <v>0</v>
      </c>
      <c r="H87" s="765">
        <f t="shared" si="12"/>
        <v>0</v>
      </c>
      <c r="I87" s="838"/>
      <c r="J87" s="55"/>
      <c r="K87" s="55"/>
      <c r="L87" s="765"/>
      <c r="M87" s="765"/>
      <c r="N87" s="765"/>
      <c r="O87" s="750"/>
    </row>
    <row r="88" spans="1:15" s="749" customFormat="1" ht="15" customHeight="1" x14ac:dyDescent="0.25">
      <c r="A88" s="784" t="s">
        <v>310</v>
      </c>
      <c r="B88" s="784"/>
      <c r="C88" s="785" t="s">
        <v>311</v>
      </c>
      <c r="D88" s="785" t="s">
        <v>312</v>
      </c>
      <c r="E88" s="785" t="s">
        <v>307</v>
      </c>
      <c r="F88" s="786">
        <f t="shared" si="12"/>
        <v>77766</v>
      </c>
      <c r="G88" s="786">
        <f t="shared" si="12"/>
        <v>40712</v>
      </c>
      <c r="H88" s="786">
        <f t="shared" si="12"/>
        <v>40712</v>
      </c>
      <c r="I88" s="1006">
        <f>40712+18389+18665</f>
        <v>77766</v>
      </c>
      <c r="J88" s="55">
        <v>40712</v>
      </c>
      <c r="K88" s="55">
        <v>40712</v>
      </c>
      <c r="L88" s="765"/>
      <c r="M88" s="786"/>
      <c r="N88" s="786"/>
    </row>
    <row r="89" spans="1:15" s="749" customFormat="1" x14ac:dyDescent="0.25">
      <c r="A89" s="784" t="s">
        <v>313</v>
      </c>
      <c r="B89" s="784"/>
      <c r="C89" s="785" t="s">
        <v>311</v>
      </c>
      <c r="D89" s="785" t="s">
        <v>312</v>
      </c>
      <c r="E89" s="785" t="s">
        <v>307</v>
      </c>
      <c r="F89" s="786">
        <f t="shared" si="12"/>
        <v>185902</v>
      </c>
      <c r="G89" s="786">
        <f t="shared" si="12"/>
        <v>92958</v>
      </c>
      <c r="H89" s="786">
        <f t="shared" si="12"/>
        <v>92958</v>
      </c>
      <c r="I89" s="838">
        <f>92958+46466+46478</f>
        <v>185902</v>
      </c>
      <c r="J89" s="55">
        <v>92958</v>
      </c>
      <c r="K89" s="55">
        <v>92958</v>
      </c>
      <c r="L89" s="765"/>
      <c r="M89" s="786"/>
      <c r="N89" s="786"/>
    </row>
    <row r="90" spans="1:15" s="771" customFormat="1" x14ac:dyDescent="0.25">
      <c r="A90" s="774" t="s">
        <v>314</v>
      </c>
      <c r="B90" s="767" t="s">
        <v>248</v>
      </c>
      <c r="C90" s="768" t="s">
        <v>249</v>
      </c>
      <c r="D90" s="775" t="s">
        <v>259</v>
      </c>
      <c r="E90" s="768" t="s">
        <v>315</v>
      </c>
      <c r="F90" s="769">
        <f t="shared" si="12"/>
        <v>0</v>
      </c>
      <c r="G90" s="769">
        <f t="shared" si="12"/>
        <v>0</v>
      </c>
      <c r="H90" s="769">
        <f t="shared" si="12"/>
        <v>0</v>
      </c>
      <c r="I90" s="837"/>
      <c r="J90" s="62"/>
      <c r="K90" s="62"/>
      <c r="L90" s="769"/>
      <c r="M90" s="769"/>
      <c r="N90" s="769"/>
      <c r="O90" s="750"/>
    </row>
    <row r="91" spans="1:15" s="745" customFormat="1" x14ac:dyDescent="0.25">
      <c r="A91" s="767" t="s">
        <v>316</v>
      </c>
      <c r="B91" s="767"/>
      <c r="C91" s="768"/>
      <c r="D91" s="768" t="s">
        <v>259</v>
      </c>
      <c r="E91" s="768" t="s">
        <v>317</v>
      </c>
      <c r="F91" s="62">
        <f>SUM(F92:F101)</f>
        <v>400000</v>
      </c>
      <c r="G91" s="62">
        <f t="shared" ref="G91:N91" si="13">SUM(G92:G101)</f>
        <v>151362.34</v>
      </c>
      <c r="H91" s="62">
        <f t="shared" si="13"/>
        <v>151362.34</v>
      </c>
      <c r="I91" s="837">
        <f t="shared" si="13"/>
        <v>400000</v>
      </c>
      <c r="J91" s="62">
        <f t="shared" si="13"/>
        <v>151362.34</v>
      </c>
      <c r="K91" s="62">
        <f t="shared" si="13"/>
        <v>151362.34</v>
      </c>
      <c r="L91" s="62">
        <f t="shared" si="13"/>
        <v>0</v>
      </c>
      <c r="M91" s="62">
        <f t="shared" si="13"/>
        <v>0</v>
      </c>
      <c r="N91" s="62">
        <f t="shared" si="13"/>
        <v>0</v>
      </c>
      <c r="O91" s="750"/>
    </row>
    <row r="92" spans="1:15" s="766" customFormat="1" ht="15" customHeight="1" x14ac:dyDescent="0.25">
      <c r="A92" s="787" t="s">
        <v>823</v>
      </c>
      <c r="B92" s="763" t="s">
        <v>248</v>
      </c>
      <c r="C92" s="764" t="s">
        <v>249</v>
      </c>
      <c r="D92" s="788" t="s">
        <v>259</v>
      </c>
      <c r="E92" s="764" t="s">
        <v>782</v>
      </c>
      <c r="F92" s="765">
        <f t="shared" ref="F92:H94" si="14">I92+L92</f>
        <v>0</v>
      </c>
      <c r="G92" s="765">
        <f t="shared" si="14"/>
        <v>0</v>
      </c>
      <c r="H92" s="765">
        <f t="shared" si="14"/>
        <v>0</v>
      </c>
      <c r="I92" s="838"/>
      <c r="J92" s="55"/>
      <c r="K92" s="55"/>
      <c r="L92" s="765"/>
      <c r="M92" s="765"/>
      <c r="N92" s="765"/>
      <c r="O92" s="750"/>
    </row>
    <row r="93" spans="1:15" s="766" customFormat="1" ht="15" customHeight="1" x14ac:dyDescent="0.25">
      <c r="A93" s="787" t="s">
        <v>1145</v>
      </c>
      <c r="B93" s="763" t="s">
        <v>248</v>
      </c>
      <c r="C93" s="764" t="s">
        <v>1169</v>
      </c>
      <c r="D93" s="788" t="s">
        <v>259</v>
      </c>
      <c r="E93" s="764" t="s">
        <v>1146</v>
      </c>
      <c r="F93" s="765">
        <f t="shared" si="14"/>
        <v>0</v>
      </c>
      <c r="G93" s="765">
        <f t="shared" si="14"/>
        <v>0</v>
      </c>
      <c r="H93" s="765">
        <f t="shared" si="14"/>
        <v>0</v>
      </c>
      <c r="I93" s="838"/>
      <c r="J93" s="55"/>
      <c r="K93" s="55"/>
      <c r="L93" s="765"/>
      <c r="M93" s="765"/>
      <c r="N93" s="765"/>
      <c r="O93" s="750"/>
    </row>
    <row r="94" spans="1:15" s="766" customFormat="1" ht="15" customHeight="1" x14ac:dyDescent="0.25">
      <c r="A94" s="787" t="s">
        <v>1147</v>
      </c>
      <c r="B94" s="763" t="s">
        <v>248</v>
      </c>
      <c r="C94" s="764" t="s">
        <v>1169</v>
      </c>
      <c r="D94" s="788" t="s">
        <v>259</v>
      </c>
      <c r="E94" s="764" t="s">
        <v>1146</v>
      </c>
      <c r="F94" s="765">
        <f t="shared" si="14"/>
        <v>400000</v>
      </c>
      <c r="G94" s="765">
        <f t="shared" si="14"/>
        <v>151362.34</v>
      </c>
      <c r="H94" s="765">
        <f t="shared" si="14"/>
        <v>151362.34</v>
      </c>
      <c r="I94" s="838">
        <f>308336.4+91663.6</f>
        <v>400000</v>
      </c>
      <c r="J94" s="55">
        <v>151362.34</v>
      </c>
      <c r="K94" s="55">
        <v>151362.34</v>
      </c>
      <c r="L94" s="765"/>
      <c r="M94" s="765"/>
      <c r="N94" s="765"/>
      <c r="O94" s="750"/>
    </row>
    <row r="95" spans="1:15" s="766" customFormat="1" ht="15" customHeight="1" x14ac:dyDescent="0.25">
      <c r="A95" s="787" t="s">
        <v>318</v>
      </c>
      <c r="B95" s="763" t="s">
        <v>248</v>
      </c>
      <c r="C95" s="764" t="s">
        <v>249</v>
      </c>
      <c r="D95" s="788" t="s">
        <v>259</v>
      </c>
      <c r="E95" s="764" t="s">
        <v>319</v>
      </c>
      <c r="F95" s="765">
        <f t="shared" si="12"/>
        <v>0</v>
      </c>
      <c r="G95" s="765">
        <f t="shared" si="12"/>
        <v>0</v>
      </c>
      <c r="H95" s="765">
        <f t="shared" si="12"/>
        <v>0</v>
      </c>
      <c r="I95" s="838"/>
      <c r="J95" s="55"/>
      <c r="K95" s="55"/>
      <c r="L95" s="765"/>
      <c r="M95" s="765"/>
      <c r="N95" s="765"/>
      <c r="O95" s="750"/>
    </row>
    <row r="96" spans="1:15" s="766" customFormat="1" ht="15" customHeight="1" x14ac:dyDescent="0.25">
      <c r="A96" s="787" t="s">
        <v>371</v>
      </c>
      <c r="B96" s="763" t="s">
        <v>248</v>
      </c>
      <c r="C96" s="764" t="s">
        <v>249</v>
      </c>
      <c r="D96" s="788" t="s">
        <v>259</v>
      </c>
      <c r="E96" s="764" t="s">
        <v>757</v>
      </c>
      <c r="F96" s="765">
        <f t="shared" si="12"/>
        <v>0</v>
      </c>
      <c r="G96" s="765">
        <f t="shared" si="12"/>
        <v>0</v>
      </c>
      <c r="H96" s="765">
        <f t="shared" si="12"/>
        <v>0</v>
      </c>
      <c r="I96" s="838"/>
      <c r="J96" s="55"/>
      <c r="K96" s="55"/>
      <c r="L96" s="765"/>
      <c r="M96" s="765"/>
      <c r="N96" s="765"/>
      <c r="O96" s="750"/>
    </row>
    <row r="97" spans="1:16" s="766" customFormat="1" ht="15" customHeight="1" x14ac:dyDescent="0.25">
      <c r="A97" s="787" t="s">
        <v>1148</v>
      </c>
      <c r="B97" s="763" t="s">
        <v>248</v>
      </c>
      <c r="C97" s="764" t="s">
        <v>249</v>
      </c>
      <c r="D97" s="788" t="s">
        <v>259</v>
      </c>
      <c r="E97" s="764" t="s">
        <v>320</v>
      </c>
      <c r="F97" s="765">
        <f t="shared" si="12"/>
        <v>0</v>
      </c>
      <c r="G97" s="765">
        <f t="shared" si="12"/>
        <v>0</v>
      </c>
      <c r="H97" s="765">
        <f t="shared" si="12"/>
        <v>0</v>
      </c>
      <c r="I97" s="838"/>
      <c r="J97" s="55"/>
      <c r="K97" s="55"/>
      <c r="L97" s="765"/>
      <c r="M97" s="765"/>
      <c r="N97" s="765"/>
      <c r="O97" s="750"/>
    </row>
    <row r="98" spans="1:16" s="766" customFormat="1" ht="15" customHeight="1" x14ac:dyDescent="0.25">
      <c r="A98" s="787" t="s">
        <v>1149</v>
      </c>
      <c r="B98" s="763" t="s">
        <v>248</v>
      </c>
      <c r="C98" s="764" t="s">
        <v>249</v>
      </c>
      <c r="D98" s="788" t="s">
        <v>259</v>
      </c>
      <c r="E98" s="764" t="s">
        <v>320</v>
      </c>
      <c r="F98" s="765">
        <f t="shared" si="12"/>
        <v>0</v>
      </c>
      <c r="G98" s="765">
        <f t="shared" si="12"/>
        <v>0</v>
      </c>
      <c r="H98" s="765">
        <f t="shared" si="12"/>
        <v>0</v>
      </c>
      <c r="I98" s="838"/>
      <c r="J98" s="55"/>
      <c r="K98" s="55"/>
      <c r="L98" s="765"/>
      <c r="M98" s="765"/>
      <c r="N98" s="765"/>
      <c r="O98" s="750"/>
    </row>
    <row r="99" spans="1:16" s="766" customFormat="1" ht="15" customHeight="1" x14ac:dyDescent="0.25">
      <c r="A99" s="787" t="s">
        <v>1150</v>
      </c>
      <c r="B99" s="763" t="s">
        <v>248</v>
      </c>
      <c r="C99" s="764" t="s">
        <v>249</v>
      </c>
      <c r="D99" s="788" t="s">
        <v>259</v>
      </c>
      <c r="E99" s="764" t="s">
        <v>320</v>
      </c>
      <c r="F99" s="765">
        <f t="shared" si="12"/>
        <v>0</v>
      </c>
      <c r="G99" s="765">
        <f t="shared" si="12"/>
        <v>0</v>
      </c>
      <c r="H99" s="765">
        <f t="shared" si="12"/>
        <v>0</v>
      </c>
      <c r="I99" s="838"/>
      <c r="J99" s="55"/>
      <c r="K99" s="55"/>
      <c r="L99" s="765"/>
      <c r="M99" s="765"/>
      <c r="N99" s="765"/>
      <c r="O99" s="750"/>
    </row>
    <row r="100" spans="1:16" s="766" customFormat="1" ht="15" customHeight="1" x14ac:dyDescent="0.25">
      <c r="A100" s="787" t="s">
        <v>1177</v>
      </c>
      <c r="B100" s="763" t="s">
        <v>248</v>
      </c>
      <c r="C100" s="764" t="s">
        <v>249</v>
      </c>
      <c r="D100" s="788" t="s">
        <v>259</v>
      </c>
      <c r="E100" s="764" t="s">
        <v>320</v>
      </c>
      <c r="F100" s="765">
        <f t="shared" si="12"/>
        <v>0</v>
      </c>
      <c r="G100" s="765">
        <f t="shared" si="12"/>
        <v>0</v>
      </c>
      <c r="H100" s="765">
        <f t="shared" si="12"/>
        <v>0</v>
      </c>
      <c r="I100" s="838"/>
      <c r="J100" s="55"/>
      <c r="K100" s="55"/>
      <c r="L100" s="765"/>
      <c r="M100" s="765"/>
      <c r="N100" s="765"/>
      <c r="O100" s="750"/>
    </row>
    <row r="101" spans="1:16" s="766" customFormat="1" ht="15" customHeight="1" x14ac:dyDescent="0.25">
      <c r="A101" s="787" t="s">
        <v>1151</v>
      </c>
      <c r="B101" s="763" t="s">
        <v>248</v>
      </c>
      <c r="C101" s="764" t="s">
        <v>249</v>
      </c>
      <c r="D101" s="788" t="s">
        <v>259</v>
      </c>
      <c r="E101" s="764" t="s">
        <v>320</v>
      </c>
      <c r="F101" s="765">
        <f>I101+L101</f>
        <v>0</v>
      </c>
      <c r="G101" s="765">
        <f t="shared" si="12"/>
        <v>0</v>
      </c>
      <c r="H101" s="765">
        <f t="shared" si="12"/>
        <v>0</v>
      </c>
      <c r="I101" s="838"/>
      <c r="J101" s="55"/>
      <c r="K101" s="55"/>
      <c r="L101" s="765"/>
      <c r="M101" s="765"/>
      <c r="N101" s="765"/>
      <c r="O101" s="750"/>
    </row>
    <row r="102" spans="1:16" s="745" customFormat="1" x14ac:dyDescent="0.25">
      <c r="A102" s="789" t="s">
        <v>1279</v>
      </c>
      <c r="B102" s="790"/>
      <c r="C102" s="791"/>
      <c r="D102" s="791"/>
      <c r="E102" s="791"/>
      <c r="F102" s="769">
        <f>SUM(F103:F108)</f>
        <v>650682</v>
      </c>
      <c r="G102" s="769">
        <f t="shared" ref="G102:N102" si="15">SUM(G103:G108)</f>
        <v>330396.59000000003</v>
      </c>
      <c r="H102" s="769">
        <f t="shared" si="15"/>
        <v>330396.59000000003</v>
      </c>
      <c r="I102" s="779">
        <f>SUM(I103:I108)</f>
        <v>650682</v>
      </c>
      <c r="J102" s="769">
        <f t="shared" si="15"/>
        <v>330396.59000000003</v>
      </c>
      <c r="K102" s="769">
        <f t="shared" si="15"/>
        <v>330396.59000000003</v>
      </c>
      <c r="L102" s="769">
        <f t="shared" si="15"/>
        <v>0</v>
      </c>
      <c r="M102" s="769">
        <f t="shared" si="15"/>
        <v>0</v>
      </c>
      <c r="N102" s="769">
        <f t="shared" si="15"/>
        <v>0</v>
      </c>
      <c r="O102" s="750">
        <v>4023</v>
      </c>
      <c r="P102" s="762" t="s">
        <v>323</v>
      </c>
    </row>
    <row r="103" spans="1:16" ht="15" customHeight="1" x14ac:dyDescent="0.25">
      <c r="A103" s="792" t="s">
        <v>324</v>
      </c>
      <c r="B103" s="793"/>
      <c r="C103" s="794" t="s">
        <v>871</v>
      </c>
      <c r="D103" s="794" t="s">
        <v>259</v>
      </c>
      <c r="E103" s="794" t="s">
        <v>274</v>
      </c>
      <c r="F103" s="765">
        <f t="shared" ref="F103:H108" si="16">I103+L103</f>
        <v>4032</v>
      </c>
      <c r="G103" s="765">
        <f t="shared" si="16"/>
        <v>2347.5300000000002</v>
      </c>
      <c r="H103" s="765">
        <f t="shared" si="16"/>
        <v>2347.5300000000002</v>
      </c>
      <c r="I103" s="786">
        <f>2352+1344+336</f>
        <v>4032</v>
      </c>
      <c r="J103" s="765">
        <v>2347.5300000000002</v>
      </c>
      <c r="K103" s="765">
        <v>2347.5300000000002</v>
      </c>
      <c r="L103" s="765"/>
      <c r="M103" s="765"/>
      <c r="N103" s="765"/>
    </row>
    <row r="104" spans="1:16" ht="15" customHeight="1" x14ac:dyDescent="0.25">
      <c r="A104" s="792" t="s">
        <v>325</v>
      </c>
      <c r="B104" s="793"/>
      <c r="C104" s="794" t="s">
        <v>871</v>
      </c>
      <c r="D104" s="794" t="s">
        <v>259</v>
      </c>
      <c r="E104" s="794" t="s">
        <v>274</v>
      </c>
      <c r="F104" s="765">
        <f t="shared" si="16"/>
        <v>18000</v>
      </c>
      <c r="G104" s="765">
        <f t="shared" si="16"/>
        <v>10500</v>
      </c>
      <c r="H104" s="765">
        <f t="shared" si="16"/>
        <v>10500</v>
      </c>
      <c r="I104" s="786">
        <f>10500+6000+1500</f>
        <v>18000</v>
      </c>
      <c r="J104" s="765">
        <v>10500</v>
      </c>
      <c r="K104" s="765">
        <v>10500</v>
      </c>
      <c r="L104" s="765"/>
      <c r="M104" s="765"/>
      <c r="N104" s="765"/>
    </row>
    <row r="105" spans="1:16" ht="15" hidden="1" customHeight="1" x14ac:dyDescent="0.25">
      <c r="A105" s="792" t="s">
        <v>326</v>
      </c>
      <c r="B105" s="793"/>
      <c r="C105" s="794" t="s">
        <v>276</v>
      </c>
      <c r="D105" s="794" t="s">
        <v>259</v>
      </c>
      <c r="E105" s="794" t="s">
        <v>274</v>
      </c>
      <c r="F105" s="765">
        <f t="shared" si="16"/>
        <v>0</v>
      </c>
      <c r="G105" s="765">
        <f t="shared" si="16"/>
        <v>0</v>
      </c>
      <c r="H105" s="765">
        <f t="shared" si="16"/>
        <v>0</v>
      </c>
      <c r="I105" s="786"/>
      <c r="J105" s="765"/>
      <c r="K105" s="765"/>
      <c r="L105" s="765"/>
      <c r="M105" s="765"/>
      <c r="N105" s="765"/>
    </row>
    <row r="106" spans="1:16" x14ac:dyDescent="0.25">
      <c r="A106" s="792" t="s">
        <v>327</v>
      </c>
      <c r="B106" s="793"/>
      <c r="C106" s="794" t="s">
        <v>870</v>
      </c>
      <c r="D106" s="794" t="s">
        <v>259</v>
      </c>
      <c r="E106" s="794" t="s">
        <v>252</v>
      </c>
      <c r="F106" s="765">
        <f t="shared" si="16"/>
        <v>42282</v>
      </c>
      <c r="G106" s="765">
        <f t="shared" si="16"/>
        <v>24329.06</v>
      </c>
      <c r="H106" s="765">
        <f t="shared" si="16"/>
        <v>24329.06</v>
      </c>
      <c r="I106" s="786">
        <f>24664.5+14094+3523.5</f>
        <v>42282</v>
      </c>
      <c r="J106" s="765">
        <v>24329.06</v>
      </c>
      <c r="K106" s="765">
        <v>24329.06</v>
      </c>
      <c r="L106" s="765"/>
      <c r="M106" s="765"/>
      <c r="N106" s="765"/>
    </row>
    <row r="107" spans="1:16" x14ac:dyDescent="0.25">
      <c r="A107" s="792" t="s">
        <v>328</v>
      </c>
      <c r="B107" s="793"/>
      <c r="C107" s="794" t="s">
        <v>276</v>
      </c>
      <c r="D107" s="794" t="s">
        <v>259</v>
      </c>
      <c r="E107" s="794" t="s">
        <v>252</v>
      </c>
      <c r="F107" s="765">
        <f t="shared" si="16"/>
        <v>586368</v>
      </c>
      <c r="G107" s="765">
        <f t="shared" si="16"/>
        <v>293220</v>
      </c>
      <c r="H107" s="765">
        <f t="shared" si="16"/>
        <v>293220</v>
      </c>
      <c r="I107" s="786">
        <f>298080+192240+96048</f>
        <v>586368</v>
      </c>
      <c r="J107" s="765">
        <v>293220</v>
      </c>
      <c r="K107" s="765">
        <v>293220</v>
      </c>
      <c r="L107" s="765"/>
      <c r="M107" s="765"/>
      <c r="N107" s="765"/>
    </row>
    <row r="108" spans="1:16" x14ac:dyDescent="0.25">
      <c r="A108" s="792" t="s">
        <v>329</v>
      </c>
      <c r="B108" s="793"/>
      <c r="C108" s="794" t="s">
        <v>276</v>
      </c>
      <c r="D108" s="794" t="s">
        <v>259</v>
      </c>
      <c r="E108" s="794" t="s">
        <v>252</v>
      </c>
      <c r="F108" s="765">
        <f t="shared" si="16"/>
        <v>0</v>
      </c>
      <c r="G108" s="765">
        <f t="shared" si="16"/>
        <v>0</v>
      </c>
      <c r="H108" s="765">
        <f t="shared" si="16"/>
        <v>0</v>
      </c>
      <c r="I108" s="786"/>
      <c r="J108" s="765"/>
      <c r="K108" s="765"/>
      <c r="L108" s="765"/>
      <c r="M108" s="765"/>
      <c r="N108" s="765"/>
    </row>
    <row r="109" spans="1:16" s="745" customFormat="1" x14ac:dyDescent="0.25">
      <c r="A109" s="789" t="s">
        <v>1239</v>
      </c>
      <c r="B109" s="790"/>
      <c r="C109" s="791"/>
      <c r="D109" s="791"/>
      <c r="E109" s="791"/>
      <c r="F109" s="769">
        <f t="shared" ref="F109:N109" si="17">SUM(F110:F110)</f>
        <v>17750</v>
      </c>
      <c r="G109" s="769">
        <f t="shared" si="17"/>
        <v>13250</v>
      </c>
      <c r="H109" s="769">
        <f t="shared" si="17"/>
        <v>13250</v>
      </c>
      <c r="I109" s="779">
        <f t="shared" si="17"/>
        <v>17750</v>
      </c>
      <c r="J109" s="769">
        <f t="shared" si="17"/>
        <v>13250</v>
      </c>
      <c r="K109" s="769">
        <f t="shared" si="17"/>
        <v>13250</v>
      </c>
      <c r="L109" s="769">
        <f t="shared" si="17"/>
        <v>0</v>
      </c>
      <c r="M109" s="769">
        <f t="shared" si="17"/>
        <v>0</v>
      </c>
      <c r="N109" s="769">
        <f t="shared" si="17"/>
        <v>0</v>
      </c>
      <c r="O109" s="750">
        <v>4022</v>
      </c>
      <c r="P109" s="762" t="s">
        <v>330</v>
      </c>
    </row>
    <row r="110" spans="1:16" x14ac:dyDescent="0.25">
      <c r="A110" s="795" t="s">
        <v>331</v>
      </c>
      <c r="B110" s="796"/>
      <c r="C110" s="794" t="s">
        <v>249</v>
      </c>
      <c r="D110" s="794" t="s">
        <v>259</v>
      </c>
      <c r="E110" s="794" t="s">
        <v>274</v>
      </c>
      <c r="F110" s="765">
        <f>I110+L110</f>
        <v>17750</v>
      </c>
      <c r="G110" s="765">
        <f>J110+M110</f>
        <v>13250</v>
      </c>
      <c r="H110" s="765">
        <f>K110+N110</f>
        <v>13250</v>
      </c>
      <c r="I110" s="786">
        <f>13250+1500+3000</f>
        <v>17750</v>
      </c>
      <c r="J110" s="765">
        <v>13250</v>
      </c>
      <c r="K110" s="765">
        <v>13250</v>
      </c>
      <c r="L110" s="765"/>
      <c r="M110" s="765"/>
      <c r="N110" s="765"/>
    </row>
    <row r="111" spans="1:16" s="745" customFormat="1" x14ac:dyDescent="0.25">
      <c r="A111" s="789" t="s">
        <v>1260</v>
      </c>
      <c r="B111" s="790"/>
      <c r="C111" s="791"/>
      <c r="D111" s="791"/>
      <c r="E111" s="791"/>
      <c r="F111" s="769">
        <f>F112+F113+F114+F115+F116+F117+F118+F120+F126+F135+F143</f>
        <v>15506510.279999999</v>
      </c>
      <c r="G111" s="769">
        <f t="shared" ref="G111:N111" si="18">G112+G113+G114+G115+G116+G117+G118+G120+G126+G135+G143</f>
        <v>11665600</v>
      </c>
      <c r="H111" s="769">
        <f t="shared" si="18"/>
        <v>11665600</v>
      </c>
      <c r="I111" s="779">
        <f>I112+I113+I114+I115+I116+I117+I118+I120+I126+I135+I143</f>
        <v>14847200</v>
      </c>
      <c r="J111" s="769">
        <f>J112+J113+J114+J115+J116+J117+J118+J120+J126+J135+J143</f>
        <v>11665600</v>
      </c>
      <c r="K111" s="769">
        <f>K112+K113+K114+K115+K116+K117+K118+K120+K126+K135+K143</f>
        <v>11665600</v>
      </c>
      <c r="L111" s="769">
        <f t="shared" si="18"/>
        <v>659310.28</v>
      </c>
      <c r="M111" s="769">
        <f t="shared" si="18"/>
        <v>0</v>
      </c>
      <c r="N111" s="769">
        <f t="shared" si="18"/>
        <v>0</v>
      </c>
      <c r="O111" s="750"/>
      <c r="P111" s="762" t="s">
        <v>1152</v>
      </c>
    </row>
    <row r="112" spans="1:16" x14ac:dyDescent="0.25">
      <c r="A112" s="763" t="s">
        <v>241</v>
      </c>
      <c r="B112" s="763"/>
      <c r="C112" s="764" t="s">
        <v>242</v>
      </c>
      <c r="D112" s="764" t="s">
        <v>243</v>
      </c>
      <c r="E112" s="764" t="s">
        <v>244</v>
      </c>
      <c r="F112" s="765">
        <f t="shared" ref="F112:F117" si="19">I112+L112</f>
        <v>11684700</v>
      </c>
      <c r="G112" s="765">
        <f t="shared" ref="G112:H117" si="20">J112+M112</f>
        <v>8845900</v>
      </c>
      <c r="H112" s="765">
        <f t="shared" si="20"/>
        <v>8845900</v>
      </c>
      <c r="I112" s="838">
        <f>8915900-I113+2443900</f>
        <v>11289800</v>
      </c>
      <c r="J112" s="55">
        <f>8915900-J113</f>
        <v>8845900</v>
      </c>
      <c r="K112" s="55">
        <f>8915900-K113</f>
        <v>8845900</v>
      </c>
      <c r="L112" s="765">
        <v>394900</v>
      </c>
      <c r="M112" s="765"/>
      <c r="N112" s="765"/>
      <c r="O112" s="797"/>
    </row>
    <row r="113" spans="1:15" x14ac:dyDescent="0.25">
      <c r="A113" s="763" t="s">
        <v>245</v>
      </c>
      <c r="B113" s="763"/>
      <c r="C113" s="764" t="s">
        <v>242</v>
      </c>
      <c r="D113" s="764" t="s">
        <v>243</v>
      </c>
      <c r="E113" s="764" t="s">
        <v>246</v>
      </c>
      <c r="F113" s="765">
        <f t="shared" si="19"/>
        <v>70000</v>
      </c>
      <c r="G113" s="765">
        <f t="shared" si="20"/>
        <v>70000</v>
      </c>
      <c r="H113" s="765">
        <f t="shared" si="20"/>
        <v>70000</v>
      </c>
      <c r="I113" s="838">
        <v>70000</v>
      </c>
      <c r="J113" s="55">
        <v>70000</v>
      </c>
      <c r="K113" s="55">
        <v>70000</v>
      </c>
      <c r="L113" s="765"/>
      <c r="M113" s="765"/>
      <c r="N113" s="765"/>
    </row>
    <row r="114" spans="1:15" s="766" customFormat="1" x14ac:dyDescent="0.25">
      <c r="A114" s="763" t="s">
        <v>247</v>
      </c>
      <c r="B114" s="763" t="s">
        <v>248</v>
      </c>
      <c r="C114" s="764" t="s">
        <v>249</v>
      </c>
      <c r="D114" s="764" t="s">
        <v>250</v>
      </c>
      <c r="E114" s="764" t="s">
        <v>246</v>
      </c>
      <c r="F114" s="765">
        <f t="shared" si="19"/>
        <v>0</v>
      </c>
      <c r="G114" s="765">
        <f t="shared" si="20"/>
        <v>0</v>
      </c>
      <c r="H114" s="765">
        <f t="shared" si="20"/>
        <v>0</v>
      </c>
      <c r="I114" s="838"/>
      <c r="J114" s="55"/>
      <c r="K114" s="55"/>
      <c r="L114" s="765"/>
      <c r="M114" s="765"/>
      <c r="N114" s="765"/>
      <c r="O114" s="750"/>
    </row>
    <row r="115" spans="1:15" s="766" customFormat="1" x14ac:dyDescent="0.25">
      <c r="A115" s="763" t="s">
        <v>251</v>
      </c>
      <c r="B115" s="763" t="s">
        <v>248</v>
      </c>
      <c r="C115" s="764" t="s">
        <v>249</v>
      </c>
      <c r="D115" s="764" t="s">
        <v>250</v>
      </c>
      <c r="E115" s="764" t="s">
        <v>252</v>
      </c>
      <c r="F115" s="765">
        <f t="shared" si="19"/>
        <v>0</v>
      </c>
      <c r="G115" s="765">
        <f t="shared" si="20"/>
        <v>0</v>
      </c>
      <c r="H115" s="765">
        <f t="shared" si="20"/>
        <v>0</v>
      </c>
      <c r="I115" s="838"/>
      <c r="J115" s="55"/>
      <c r="K115" s="55"/>
      <c r="L115" s="765"/>
      <c r="M115" s="765"/>
      <c r="N115" s="765"/>
      <c r="O115" s="750"/>
    </row>
    <row r="116" spans="1:15" s="766" customFormat="1" x14ac:dyDescent="0.25">
      <c r="A116" s="763" t="s">
        <v>253</v>
      </c>
      <c r="B116" s="763" t="s">
        <v>248</v>
      </c>
      <c r="C116" s="764" t="s">
        <v>249</v>
      </c>
      <c r="D116" s="764" t="s">
        <v>250</v>
      </c>
      <c r="E116" s="764" t="s">
        <v>246</v>
      </c>
      <c r="F116" s="765">
        <f t="shared" si="19"/>
        <v>0</v>
      </c>
      <c r="G116" s="765">
        <f t="shared" si="20"/>
        <v>0</v>
      </c>
      <c r="H116" s="765">
        <f t="shared" si="20"/>
        <v>0</v>
      </c>
      <c r="I116" s="838"/>
      <c r="J116" s="55"/>
      <c r="K116" s="55"/>
      <c r="L116" s="765"/>
      <c r="M116" s="765"/>
      <c r="N116" s="765"/>
      <c r="O116" s="750"/>
    </row>
    <row r="117" spans="1:15" x14ac:dyDescent="0.25">
      <c r="A117" s="763" t="s">
        <v>254</v>
      </c>
      <c r="B117" s="763"/>
      <c r="C117" s="764" t="s">
        <v>255</v>
      </c>
      <c r="D117" s="764" t="s">
        <v>256</v>
      </c>
      <c r="E117" s="764" t="s">
        <v>257</v>
      </c>
      <c r="F117" s="765">
        <f t="shared" si="19"/>
        <v>3695110.28</v>
      </c>
      <c r="G117" s="765">
        <f t="shared" si="20"/>
        <v>2692600</v>
      </c>
      <c r="H117" s="765">
        <f t="shared" si="20"/>
        <v>2692600</v>
      </c>
      <c r="I117" s="838">
        <f>2692600+738100</f>
        <v>3430700</v>
      </c>
      <c r="J117" s="55">
        <v>2692600</v>
      </c>
      <c r="K117" s="55">
        <v>2692600</v>
      </c>
      <c r="L117" s="765">
        <v>264410.28000000003</v>
      </c>
      <c r="M117" s="765"/>
      <c r="N117" s="765"/>
    </row>
    <row r="118" spans="1:15" s="745" customFormat="1" x14ac:dyDescent="0.25">
      <c r="A118" s="767" t="s">
        <v>258</v>
      </c>
      <c r="B118" s="767"/>
      <c r="C118" s="768"/>
      <c r="D118" s="768" t="s">
        <v>259</v>
      </c>
      <c r="E118" s="768" t="s">
        <v>260</v>
      </c>
      <c r="F118" s="769">
        <f t="shared" ref="F118:N118" si="21">SUM(F119:F119)</f>
        <v>0</v>
      </c>
      <c r="G118" s="769">
        <f t="shared" si="21"/>
        <v>0</v>
      </c>
      <c r="H118" s="769">
        <f t="shared" si="21"/>
        <v>0</v>
      </c>
      <c r="I118" s="837">
        <f>SUM(I119:I119)</f>
        <v>0</v>
      </c>
      <c r="J118" s="62">
        <f t="shared" si="21"/>
        <v>0</v>
      </c>
      <c r="K118" s="62">
        <f t="shared" si="21"/>
        <v>0</v>
      </c>
      <c r="L118" s="769">
        <f t="shared" si="21"/>
        <v>0</v>
      </c>
      <c r="M118" s="769">
        <f t="shared" si="21"/>
        <v>0</v>
      </c>
      <c r="N118" s="769">
        <f t="shared" si="21"/>
        <v>0</v>
      </c>
      <c r="O118" s="750"/>
    </row>
    <row r="119" spans="1:15" ht="27.6" x14ac:dyDescent="0.25">
      <c r="A119" s="763" t="s">
        <v>1153</v>
      </c>
      <c r="B119" s="763"/>
      <c r="C119" s="764" t="s">
        <v>262</v>
      </c>
      <c r="D119" s="764" t="s">
        <v>259</v>
      </c>
      <c r="E119" s="764" t="s">
        <v>260</v>
      </c>
      <c r="F119" s="765">
        <f>I119+L119</f>
        <v>0</v>
      </c>
      <c r="G119" s="765">
        <f>J119+M119</f>
        <v>0</v>
      </c>
      <c r="H119" s="765">
        <f>K119+N119</f>
        <v>0</v>
      </c>
      <c r="I119" s="838"/>
      <c r="J119" s="55"/>
      <c r="K119" s="55"/>
      <c r="L119" s="765"/>
      <c r="M119" s="765"/>
      <c r="N119" s="765"/>
    </row>
    <row r="120" spans="1:15" s="745" customFormat="1" ht="18" customHeight="1" x14ac:dyDescent="0.25">
      <c r="A120" s="767" t="s">
        <v>273</v>
      </c>
      <c r="B120" s="767"/>
      <c r="C120" s="768"/>
      <c r="D120" s="768" t="s">
        <v>259</v>
      </c>
      <c r="E120" s="768" t="s">
        <v>274</v>
      </c>
      <c r="F120" s="62">
        <f>SUM(F121:F125)</f>
        <v>0</v>
      </c>
      <c r="G120" s="62">
        <f t="shared" ref="G120:N120" si="22">SUM(G121:G125)</f>
        <v>0</v>
      </c>
      <c r="H120" s="62">
        <f t="shared" si="22"/>
        <v>0</v>
      </c>
      <c r="I120" s="837">
        <f t="shared" si="22"/>
        <v>0</v>
      </c>
      <c r="J120" s="62">
        <f t="shared" si="22"/>
        <v>0</v>
      </c>
      <c r="K120" s="62">
        <f t="shared" si="22"/>
        <v>0</v>
      </c>
      <c r="L120" s="62">
        <f t="shared" si="22"/>
        <v>0</v>
      </c>
      <c r="M120" s="62">
        <f t="shared" si="22"/>
        <v>0</v>
      </c>
      <c r="N120" s="62">
        <f t="shared" si="22"/>
        <v>0</v>
      </c>
      <c r="O120" s="750"/>
    </row>
    <row r="121" spans="1:15" x14ac:dyDescent="0.25">
      <c r="A121" s="763" t="s">
        <v>1154</v>
      </c>
      <c r="B121" s="796"/>
      <c r="C121" s="764" t="s">
        <v>249</v>
      </c>
      <c r="D121" s="788" t="s">
        <v>259</v>
      </c>
      <c r="E121" s="794" t="s">
        <v>274</v>
      </c>
      <c r="F121" s="765">
        <f t="shared" ref="F121:H125" si="23">I121+L121</f>
        <v>0</v>
      </c>
      <c r="G121" s="765">
        <f t="shared" si="23"/>
        <v>0</v>
      </c>
      <c r="H121" s="765">
        <f t="shared" si="23"/>
        <v>0</v>
      </c>
      <c r="I121" s="786"/>
      <c r="J121" s="765"/>
      <c r="K121" s="765"/>
      <c r="L121" s="765"/>
      <c r="M121" s="765"/>
      <c r="N121" s="765"/>
    </row>
    <row r="122" spans="1:15" x14ac:dyDescent="0.25">
      <c r="A122" s="763"/>
      <c r="B122" s="796"/>
      <c r="C122" s="764" t="s">
        <v>249</v>
      </c>
      <c r="D122" s="788" t="s">
        <v>259</v>
      </c>
      <c r="E122" s="794" t="s">
        <v>274</v>
      </c>
      <c r="F122" s="765">
        <f t="shared" si="23"/>
        <v>0</v>
      </c>
      <c r="G122" s="765">
        <f t="shared" si="23"/>
        <v>0</v>
      </c>
      <c r="H122" s="765">
        <f t="shared" si="23"/>
        <v>0</v>
      </c>
      <c r="I122" s="786"/>
      <c r="J122" s="765"/>
      <c r="K122" s="765"/>
      <c r="L122" s="765"/>
      <c r="M122" s="765"/>
      <c r="N122" s="765"/>
    </row>
    <row r="123" spans="1:15" x14ac:dyDescent="0.25">
      <c r="A123" s="763"/>
      <c r="B123" s="796"/>
      <c r="C123" s="764" t="s">
        <v>249</v>
      </c>
      <c r="D123" s="788" t="s">
        <v>259</v>
      </c>
      <c r="E123" s="794" t="s">
        <v>274</v>
      </c>
      <c r="F123" s="765">
        <f t="shared" si="23"/>
        <v>0</v>
      </c>
      <c r="G123" s="765">
        <f t="shared" si="23"/>
        <v>0</v>
      </c>
      <c r="H123" s="765">
        <f t="shared" si="23"/>
        <v>0</v>
      </c>
      <c r="I123" s="786"/>
      <c r="J123" s="765"/>
      <c r="K123" s="765"/>
      <c r="L123" s="765"/>
      <c r="M123" s="765"/>
      <c r="N123" s="765"/>
    </row>
    <row r="124" spans="1:15" x14ac:dyDescent="0.25">
      <c r="A124" s="763"/>
      <c r="B124" s="796"/>
      <c r="C124" s="764" t="s">
        <v>249</v>
      </c>
      <c r="D124" s="788" t="s">
        <v>259</v>
      </c>
      <c r="E124" s="794" t="s">
        <v>274</v>
      </c>
      <c r="F124" s="765">
        <f t="shared" si="23"/>
        <v>0</v>
      </c>
      <c r="G124" s="765">
        <f t="shared" si="23"/>
        <v>0</v>
      </c>
      <c r="H124" s="765">
        <f t="shared" si="23"/>
        <v>0</v>
      </c>
      <c r="I124" s="786"/>
      <c r="J124" s="765"/>
      <c r="K124" s="765"/>
      <c r="L124" s="765"/>
      <c r="M124" s="765"/>
      <c r="N124" s="765"/>
    </row>
    <row r="125" spans="1:15" x14ac:dyDescent="0.25">
      <c r="A125" s="763"/>
      <c r="B125" s="796"/>
      <c r="C125" s="764" t="s">
        <v>249</v>
      </c>
      <c r="D125" s="788" t="s">
        <v>259</v>
      </c>
      <c r="E125" s="794" t="s">
        <v>274</v>
      </c>
      <c r="F125" s="765">
        <f t="shared" si="23"/>
        <v>0</v>
      </c>
      <c r="G125" s="765">
        <f t="shared" si="23"/>
        <v>0</v>
      </c>
      <c r="H125" s="765">
        <f t="shared" si="23"/>
        <v>0</v>
      </c>
      <c r="I125" s="786"/>
      <c r="J125" s="765"/>
      <c r="K125" s="765"/>
      <c r="L125" s="765"/>
      <c r="M125" s="765"/>
      <c r="N125" s="765"/>
    </row>
    <row r="126" spans="1:15" s="745" customFormat="1" ht="18" customHeight="1" x14ac:dyDescent="0.25">
      <c r="A126" s="767" t="s">
        <v>292</v>
      </c>
      <c r="B126" s="767"/>
      <c r="C126" s="768"/>
      <c r="D126" s="768" t="s">
        <v>259</v>
      </c>
      <c r="E126" s="768" t="s">
        <v>252</v>
      </c>
      <c r="F126" s="62">
        <f>SUM(F127:F134)</f>
        <v>21165</v>
      </c>
      <c r="G126" s="62">
        <f t="shared" ref="G126:N126" si="24">SUM(G127:G134)</f>
        <v>21265</v>
      </c>
      <c r="H126" s="62">
        <f t="shared" si="24"/>
        <v>21265</v>
      </c>
      <c r="I126" s="837">
        <f t="shared" si="24"/>
        <v>21165</v>
      </c>
      <c r="J126" s="62">
        <f t="shared" si="24"/>
        <v>21265</v>
      </c>
      <c r="K126" s="62">
        <f t="shared" si="24"/>
        <v>21265</v>
      </c>
      <c r="L126" s="62">
        <f t="shared" si="24"/>
        <v>0</v>
      </c>
      <c r="M126" s="62">
        <f t="shared" si="24"/>
        <v>0</v>
      </c>
      <c r="N126" s="62">
        <f t="shared" si="24"/>
        <v>0</v>
      </c>
      <c r="O126" s="750"/>
    </row>
    <row r="127" spans="1:15" x14ac:dyDescent="0.25">
      <c r="A127" s="763" t="s">
        <v>1155</v>
      </c>
      <c r="B127" s="796"/>
      <c r="C127" s="764" t="s">
        <v>249</v>
      </c>
      <c r="D127" s="788" t="s">
        <v>259</v>
      </c>
      <c r="E127" s="794" t="s">
        <v>252</v>
      </c>
      <c r="F127" s="765">
        <f t="shared" ref="F127:H142" si="25">I127+L127</f>
        <v>7965</v>
      </c>
      <c r="G127" s="765">
        <f t="shared" si="25"/>
        <v>7965</v>
      </c>
      <c r="H127" s="765">
        <f t="shared" si="25"/>
        <v>7965</v>
      </c>
      <c r="I127" s="786">
        <v>7965</v>
      </c>
      <c r="J127" s="765">
        <v>7965</v>
      </c>
      <c r="K127" s="765">
        <v>7965</v>
      </c>
      <c r="L127" s="765"/>
      <c r="M127" s="765"/>
      <c r="N127" s="765"/>
    </row>
    <row r="128" spans="1:15" x14ac:dyDescent="0.25">
      <c r="A128" s="763" t="s">
        <v>1156</v>
      </c>
      <c r="B128" s="796"/>
      <c r="C128" s="764" t="s">
        <v>249</v>
      </c>
      <c r="D128" s="788" t="s">
        <v>259</v>
      </c>
      <c r="E128" s="794" t="s">
        <v>252</v>
      </c>
      <c r="F128" s="765">
        <f t="shared" si="25"/>
        <v>0</v>
      </c>
      <c r="G128" s="765">
        <f t="shared" si="25"/>
        <v>0</v>
      </c>
      <c r="H128" s="765">
        <f t="shared" si="25"/>
        <v>0</v>
      </c>
      <c r="I128" s="786"/>
      <c r="J128" s="765"/>
      <c r="K128" s="765"/>
      <c r="L128" s="765"/>
      <c r="M128" s="765"/>
      <c r="N128" s="765"/>
    </row>
    <row r="129" spans="1:15" x14ac:dyDescent="0.25">
      <c r="A129" s="763" t="s">
        <v>1157</v>
      </c>
      <c r="B129" s="796"/>
      <c r="C129" s="764" t="s">
        <v>249</v>
      </c>
      <c r="D129" s="788" t="s">
        <v>259</v>
      </c>
      <c r="E129" s="794" t="s">
        <v>252</v>
      </c>
      <c r="F129" s="765">
        <f t="shared" si="25"/>
        <v>0</v>
      </c>
      <c r="G129" s="765">
        <f t="shared" si="25"/>
        <v>0</v>
      </c>
      <c r="H129" s="765">
        <f t="shared" si="25"/>
        <v>0</v>
      </c>
      <c r="I129" s="786"/>
      <c r="J129" s="765"/>
      <c r="K129" s="765"/>
      <c r="L129" s="765"/>
      <c r="M129" s="765"/>
      <c r="N129" s="765"/>
    </row>
    <row r="130" spans="1:15" x14ac:dyDescent="0.25">
      <c r="A130" s="763" t="s">
        <v>1158</v>
      </c>
      <c r="B130" s="796"/>
      <c r="C130" s="764" t="s">
        <v>249</v>
      </c>
      <c r="D130" s="788" t="s">
        <v>259</v>
      </c>
      <c r="E130" s="794" t="s">
        <v>252</v>
      </c>
      <c r="F130" s="765">
        <f t="shared" si="25"/>
        <v>0</v>
      </c>
      <c r="G130" s="765">
        <f t="shared" si="25"/>
        <v>0</v>
      </c>
      <c r="H130" s="765">
        <f t="shared" si="25"/>
        <v>0</v>
      </c>
      <c r="I130" s="786"/>
      <c r="J130" s="765"/>
      <c r="K130" s="765"/>
      <c r="L130" s="765"/>
      <c r="M130" s="765"/>
      <c r="N130" s="765"/>
    </row>
    <row r="131" spans="1:15" x14ac:dyDescent="0.25">
      <c r="A131" s="763" t="s">
        <v>1159</v>
      </c>
      <c r="B131" s="796"/>
      <c r="C131" s="764" t="s">
        <v>249</v>
      </c>
      <c r="D131" s="788" t="s">
        <v>259</v>
      </c>
      <c r="E131" s="794" t="s">
        <v>252</v>
      </c>
      <c r="F131" s="765">
        <f t="shared" si="25"/>
        <v>2500</v>
      </c>
      <c r="G131" s="765">
        <f t="shared" si="25"/>
        <v>2500</v>
      </c>
      <c r="H131" s="765">
        <f t="shared" si="25"/>
        <v>2500</v>
      </c>
      <c r="I131" s="786">
        <v>2500</v>
      </c>
      <c r="J131" s="765">
        <v>2500</v>
      </c>
      <c r="K131" s="765">
        <v>2500</v>
      </c>
      <c r="L131" s="765"/>
      <c r="M131" s="765"/>
      <c r="N131" s="765"/>
    </row>
    <row r="132" spans="1:15" x14ac:dyDescent="0.25">
      <c r="A132" s="763" t="s">
        <v>1160</v>
      </c>
      <c r="B132" s="796"/>
      <c r="C132" s="764" t="s">
        <v>249</v>
      </c>
      <c r="D132" s="788" t="s">
        <v>259</v>
      </c>
      <c r="E132" s="794" t="s">
        <v>252</v>
      </c>
      <c r="F132" s="765">
        <f t="shared" si="25"/>
        <v>10700</v>
      </c>
      <c r="G132" s="765">
        <f t="shared" si="25"/>
        <v>10800</v>
      </c>
      <c r="H132" s="765">
        <f t="shared" si="25"/>
        <v>10800</v>
      </c>
      <c r="I132" s="786">
        <f>10800-700+600</f>
        <v>10700</v>
      </c>
      <c r="J132" s="765">
        <v>10800</v>
      </c>
      <c r="K132" s="765">
        <v>10800</v>
      </c>
      <c r="L132" s="765"/>
      <c r="M132" s="765"/>
      <c r="N132" s="765"/>
    </row>
    <row r="133" spans="1:15" x14ac:dyDescent="0.25">
      <c r="A133" s="763"/>
      <c r="B133" s="796"/>
      <c r="C133" s="764" t="s">
        <v>249</v>
      </c>
      <c r="D133" s="788" t="s">
        <v>259</v>
      </c>
      <c r="E133" s="794" t="s">
        <v>252</v>
      </c>
      <c r="F133" s="765">
        <f t="shared" si="25"/>
        <v>0</v>
      </c>
      <c r="G133" s="765">
        <f t="shared" si="25"/>
        <v>0</v>
      </c>
      <c r="H133" s="765">
        <f t="shared" si="25"/>
        <v>0</v>
      </c>
      <c r="I133" s="786"/>
      <c r="J133" s="765"/>
      <c r="K133" s="765"/>
      <c r="L133" s="765"/>
      <c r="M133" s="765"/>
      <c r="N133" s="765"/>
    </row>
    <row r="134" spans="1:15" x14ac:dyDescent="0.25">
      <c r="A134" s="763"/>
      <c r="B134" s="796"/>
      <c r="C134" s="764" t="s">
        <v>249</v>
      </c>
      <c r="D134" s="788" t="s">
        <v>259</v>
      </c>
      <c r="E134" s="794" t="s">
        <v>252</v>
      </c>
      <c r="F134" s="765">
        <f t="shared" si="25"/>
        <v>0</v>
      </c>
      <c r="G134" s="765">
        <f t="shared" si="25"/>
        <v>0</v>
      </c>
      <c r="H134" s="765">
        <f t="shared" si="25"/>
        <v>0</v>
      </c>
      <c r="I134" s="786"/>
      <c r="J134" s="765"/>
      <c r="K134" s="765"/>
      <c r="L134" s="765"/>
      <c r="M134" s="765"/>
      <c r="N134" s="765"/>
    </row>
    <row r="135" spans="1:15" s="771" customFormat="1" x14ac:dyDescent="0.25">
      <c r="A135" s="774" t="s">
        <v>314</v>
      </c>
      <c r="B135" s="767" t="s">
        <v>248</v>
      </c>
      <c r="C135" s="768" t="s">
        <v>249</v>
      </c>
      <c r="D135" s="775" t="s">
        <v>259</v>
      </c>
      <c r="E135" s="768" t="s">
        <v>315</v>
      </c>
      <c r="F135" s="769">
        <f>SUM(F136:F142)</f>
        <v>35395</v>
      </c>
      <c r="G135" s="769">
        <f t="shared" ref="G135:N135" si="26">SUM(G136:G142)</f>
        <v>32695</v>
      </c>
      <c r="H135" s="769">
        <f t="shared" si="26"/>
        <v>32695</v>
      </c>
      <c r="I135" s="779">
        <f>SUM(I136:I142)</f>
        <v>35395</v>
      </c>
      <c r="J135" s="769">
        <f t="shared" si="26"/>
        <v>32695</v>
      </c>
      <c r="K135" s="769">
        <f t="shared" si="26"/>
        <v>32695</v>
      </c>
      <c r="L135" s="769">
        <f t="shared" si="26"/>
        <v>0</v>
      </c>
      <c r="M135" s="769">
        <f t="shared" si="26"/>
        <v>0</v>
      </c>
      <c r="N135" s="769">
        <f t="shared" si="26"/>
        <v>0</v>
      </c>
      <c r="O135" s="750"/>
    </row>
    <row r="136" spans="1:15" s="766" customFormat="1" ht="15" customHeight="1" x14ac:dyDescent="0.25">
      <c r="A136" s="787" t="s">
        <v>1161</v>
      </c>
      <c r="B136" s="763" t="s">
        <v>248</v>
      </c>
      <c r="C136" s="764" t="s">
        <v>249</v>
      </c>
      <c r="D136" s="788" t="s">
        <v>259</v>
      </c>
      <c r="E136" s="764" t="s">
        <v>315</v>
      </c>
      <c r="F136" s="765">
        <f t="shared" si="25"/>
        <v>0</v>
      </c>
      <c r="G136" s="765">
        <f t="shared" si="25"/>
        <v>0</v>
      </c>
      <c r="H136" s="765">
        <f t="shared" si="25"/>
        <v>0</v>
      </c>
      <c r="I136" s="838"/>
      <c r="J136" s="55"/>
      <c r="K136" s="55"/>
      <c r="L136" s="765"/>
      <c r="M136" s="765"/>
      <c r="N136" s="765"/>
      <c r="O136" s="750"/>
    </row>
    <row r="137" spans="1:15" s="766" customFormat="1" ht="15" customHeight="1" x14ac:dyDescent="0.25">
      <c r="A137" s="787" t="s">
        <v>1162</v>
      </c>
      <c r="B137" s="763" t="s">
        <v>248</v>
      </c>
      <c r="C137" s="764" t="s">
        <v>249</v>
      </c>
      <c r="D137" s="788" t="s">
        <v>259</v>
      </c>
      <c r="E137" s="764" t="s">
        <v>315</v>
      </c>
      <c r="F137" s="765">
        <f t="shared" si="25"/>
        <v>7539</v>
      </c>
      <c r="G137" s="765">
        <f t="shared" si="25"/>
        <v>7539</v>
      </c>
      <c r="H137" s="765">
        <f t="shared" si="25"/>
        <v>7539</v>
      </c>
      <c r="I137" s="838">
        <v>7539</v>
      </c>
      <c r="J137" s="55">
        <v>7539</v>
      </c>
      <c r="K137" s="55">
        <v>7539</v>
      </c>
      <c r="L137" s="765"/>
      <c r="M137" s="765"/>
      <c r="N137" s="765"/>
      <c r="O137" s="750"/>
    </row>
    <row r="138" spans="1:15" s="766" customFormat="1" ht="15" customHeight="1" x14ac:dyDescent="0.25">
      <c r="A138" s="787" t="s">
        <v>1240</v>
      </c>
      <c r="B138" s="763" t="s">
        <v>248</v>
      </c>
      <c r="C138" s="764" t="s">
        <v>249</v>
      </c>
      <c r="D138" s="788" t="s">
        <v>259</v>
      </c>
      <c r="E138" s="764" t="s">
        <v>315</v>
      </c>
      <c r="F138" s="765"/>
      <c r="G138" s="765">
        <f t="shared" si="25"/>
        <v>0</v>
      </c>
      <c r="H138" s="765">
        <f t="shared" si="25"/>
        <v>0</v>
      </c>
      <c r="I138" s="843"/>
      <c r="J138" s="55"/>
      <c r="K138" s="55"/>
      <c r="L138" s="765"/>
      <c r="M138" s="765"/>
      <c r="N138" s="765"/>
      <c r="O138" s="750"/>
    </row>
    <row r="139" spans="1:15" s="766" customFormat="1" ht="15" customHeight="1" x14ac:dyDescent="0.25">
      <c r="A139" s="787" t="s">
        <v>1258</v>
      </c>
      <c r="B139" s="763" t="s">
        <v>248</v>
      </c>
      <c r="C139" s="764" t="s">
        <v>249</v>
      </c>
      <c r="D139" s="788" t="s">
        <v>259</v>
      </c>
      <c r="E139" s="764" t="s">
        <v>315</v>
      </c>
      <c r="F139" s="765">
        <f t="shared" si="25"/>
        <v>17000</v>
      </c>
      <c r="G139" s="765">
        <f t="shared" si="25"/>
        <v>17000</v>
      </c>
      <c r="H139" s="765">
        <f t="shared" si="25"/>
        <v>17000</v>
      </c>
      <c r="I139" s="838">
        <v>17000</v>
      </c>
      <c r="J139" s="55">
        <v>17000</v>
      </c>
      <c r="K139" s="55">
        <v>17000</v>
      </c>
      <c r="L139" s="765"/>
      <c r="M139" s="765"/>
      <c r="N139" s="765"/>
      <c r="O139" s="750"/>
    </row>
    <row r="140" spans="1:15" s="766" customFormat="1" ht="15" customHeight="1" x14ac:dyDescent="0.25">
      <c r="A140" s="787" t="s">
        <v>1241</v>
      </c>
      <c r="B140" s="763" t="s">
        <v>248</v>
      </c>
      <c r="C140" s="764" t="s">
        <v>249</v>
      </c>
      <c r="D140" s="788" t="s">
        <v>259</v>
      </c>
      <c r="E140" s="764" t="s">
        <v>315</v>
      </c>
      <c r="F140" s="765">
        <f t="shared" si="25"/>
        <v>0</v>
      </c>
      <c r="G140" s="765">
        <f t="shared" si="25"/>
        <v>0</v>
      </c>
      <c r="H140" s="765">
        <f t="shared" si="25"/>
        <v>0</v>
      </c>
      <c r="I140" s="838"/>
      <c r="J140" s="55"/>
      <c r="K140" s="55"/>
      <c r="L140" s="765"/>
      <c r="M140" s="765"/>
      <c r="N140" s="765"/>
      <c r="O140" s="750"/>
    </row>
    <row r="141" spans="1:15" s="766" customFormat="1" ht="15" customHeight="1" x14ac:dyDescent="0.25">
      <c r="A141" s="787" t="s">
        <v>382</v>
      </c>
      <c r="B141" s="763" t="s">
        <v>248</v>
      </c>
      <c r="C141" s="764" t="s">
        <v>249</v>
      </c>
      <c r="D141" s="788" t="s">
        <v>259</v>
      </c>
      <c r="E141" s="764" t="s">
        <v>315</v>
      </c>
      <c r="F141" s="765">
        <f t="shared" si="25"/>
        <v>0</v>
      </c>
      <c r="G141" s="765">
        <f t="shared" si="25"/>
        <v>0</v>
      </c>
      <c r="H141" s="765">
        <f t="shared" si="25"/>
        <v>0</v>
      </c>
      <c r="I141" s="838"/>
      <c r="J141" s="55"/>
      <c r="K141" s="55"/>
      <c r="L141" s="765"/>
      <c r="M141" s="765"/>
      <c r="N141" s="765"/>
      <c r="O141" s="750"/>
    </row>
    <row r="142" spans="1:15" s="766" customFormat="1" ht="15" customHeight="1" x14ac:dyDescent="0.25">
      <c r="A142" s="787" t="s">
        <v>1242</v>
      </c>
      <c r="B142" s="763" t="s">
        <v>248</v>
      </c>
      <c r="C142" s="764" t="s">
        <v>249</v>
      </c>
      <c r="D142" s="788" t="s">
        <v>259</v>
      </c>
      <c r="E142" s="764" t="s">
        <v>315</v>
      </c>
      <c r="F142" s="765">
        <f>I142+L142</f>
        <v>10856</v>
      </c>
      <c r="G142" s="765">
        <f t="shared" si="25"/>
        <v>8156</v>
      </c>
      <c r="H142" s="765">
        <f t="shared" si="25"/>
        <v>8156</v>
      </c>
      <c r="I142" s="838">
        <f>8156+2700</f>
        <v>10856</v>
      </c>
      <c r="J142" s="55">
        <v>8156</v>
      </c>
      <c r="K142" s="55">
        <v>8156</v>
      </c>
      <c r="L142" s="765"/>
      <c r="M142" s="765"/>
      <c r="N142" s="765"/>
      <c r="O142" s="750"/>
    </row>
    <row r="143" spans="1:15" s="745" customFormat="1" x14ac:dyDescent="0.25">
      <c r="A143" s="767" t="s">
        <v>316</v>
      </c>
      <c r="B143" s="767"/>
      <c r="C143" s="768"/>
      <c r="D143" s="768" t="s">
        <v>259</v>
      </c>
      <c r="E143" s="768" t="s">
        <v>317</v>
      </c>
      <c r="F143" s="62">
        <f>SUM(F144:F152)</f>
        <v>140</v>
      </c>
      <c r="G143" s="62">
        <f t="shared" ref="G143:N143" si="27">SUM(G144:G152)</f>
        <v>3140</v>
      </c>
      <c r="H143" s="62">
        <f>SUM(H144:H152)</f>
        <v>3140</v>
      </c>
      <c r="I143" s="837">
        <f t="shared" si="27"/>
        <v>140</v>
      </c>
      <c r="J143" s="62">
        <f t="shared" si="27"/>
        <v>3140</v>
      </c>
      <c r="K143" s="62">
        <f t="shared" si="27"/>
        <v>3140</v>
      </c>
      <c r="L143" s="62">
        <f t="shared" si="27"/>
        <v>0</v>
      </c>
      <c r="M143" s="62">
        <f t="shared" si="27"/>
        <v>0</v>
      </c>
      <c r="N143" s="62">
        <f t="shared" si="27"/>
        <v>0</v>
      </c>
      <c r="O143" s="750"/>
    </row>
    <row r="144" spans="1:15" s="766" customFormat="1" ht="15" customHeight="1" x14ac:dyDescent="0.25">
      <c r="A144" s="787" t="s">
        <v>823</v>
      </c>
      <c r="B144" s="763" t="s">
        <v>248</v>
      </c>
      <c r="C144" s="764" t="s">
        <v>249</v>
      </c>
      <c r="D144" s="788" t="s">
        <v>259</v>
      </c>
      <c r="E144" s="764" t="s">
        <v>782</v>
      </c>
      <c r="F144" s="765">
        <f t="shared" ref="F144:H155" si="28">I144+L144</f>
        <v>0</v>
      </c>
      <c r="G144" s="765">
        <f t="shared" si="28"/>
        <v>0</v>
      </c>
      <c r="H144" s="765">
        <f t="shared" si="28"/>
        <v>0</v>
      </c>
      <c r="I144" s="838"/>
      <c r="J144" s="55"/>
      <c r="K144" s="55"/>
      <c r="L144" s="765"/>
      <c r="M144" s="765"/>
      <c r="N144" s="765"/>
      <c r="O144" s="750"/>
    </row>
    <row r="145" spans="1:16" x14ac:dyDescent="0.25">
      <c r="A145" s="787" t="s">
        <v>1163</v>
      </c>
      <c r="B145" s="763" t="s">
        <v>248</v>
      </c>
      <c r="C145" s="764" t="s">
        <v>249</v>
      </c>
      <c r="D145" s="788" t="s">
        <v>259</v>
      </c>
      <c r="E145" s="764" t="s">
        <v>320</v>
      </c>
      <c r="F145" s="765">
        <f t="shared" si="28"/>
        <v>0</v>
      </c>
      <c r="G145" s="765">
        <f t="shared" si="28"/>
        <v>0</v>
      </c>
      <c r="H145" s="765">
        <f t="shared" si="28"/>
        <v>0</v>
      </c>
      <c r="I145" s="786"/>
      <c r="J145" s="765"/>
      <c r="K145" s="765"/>
      <c r="L145" s="765"/>
      <c r="M145" s="765"/>
      <c r="N145" s="765"/>
    </row>
    <row r="146" spans="1:16" x14ac:dyDescent="0.25">
      <c r="A146" s="787" t="s">
        <v>1164</v>
      </c>
      <c r="B146" s="763" t="s">
        <v>248</v>
      </c>
      <c r="C146" s="764" t="s">
        <v>249</v>
      </c>
      <c r="D146" s="788" t="s">
        <v>259</v>
      </c>
      <c r="E146" s="764" t="s">
        <v>320</v>
      </c>
      <c r="F146" s="765">
        <f t="shared" si="28"/>
        <v>0</v>
      </c>
      <c r="G146" s="765">
        <f t="shared" si="28"/>
        <v>0</v>
      </c>
      <c r="H146" s="765">
        <f t="shared" si="28"/>
        <v>0</v>
      </c>
      <c r="I146" s="786"/>
      <c r="J146" s="765"/>
      <c r="K146" s="765"/>
      <c r="L146" s="765"/>
      <c r="M146" s="765"/>
      <c r="N146" s="765"/>
    </row>
    <row r="147" spans="1:16" x14ac:dyDescent="0.25">
      <c r="A147" s="787" t="s">
        <v>1165</v>
      </c>
      <c r="B147" s="763" t="s">
        <v>248</v>
      </c>
      <c r="C147" s="764" t="s">
        <v>249</v>
      </c>
      <c r="D147" s="788" t="s">
        <v>259</v>
      </c>
      <c r="E147" s="764" t="s">
        <v>320</v>
      </c>
      <c r="F147" s="765">
        <f t="shared" si="28"/>
        <v>140</v>
      </c>
      <c r="G147" s="765">
        <f t="shared" si="28"/>
        <v>3140</v>
      </c>
      <c r="H147" s="765">
        <f t="shared" si="28"/>
        <v>3140</v>
      </c>
      <c r="I147" s="786">
        <f>3140-3000</f>
        <v>140</v>
      </c>
      <c r="J147" s="765">
        <v>3140</v>
      </c>
      <c r="K147" s="765">
        <v>3140</v>
      </c>
      <c r="L147" s="765"/>
      <c r="M147" s="765"/>
      <c r="N147" s="765"/>
    </row>
    <row r="148" spans="1:16" x14ac:dyDescent="0.25">
      <c r="A148" s="787"/>
      <c r="B148" s="763" t="s">
        <v>248</v>
      </c>
      <c r="C148" s="764" t="s">
        <v>249</v>
      </c>
      <c r="D148" s="788" t="s">
        <v>259</v>
      </c>
      <c r="E148" s="764" t="s">
        <v>320</v>
      </c>
      <c r="F148" s="765">
        <f t="shared" si="28"/>
        <v>0</v>
      </c>
      <c r="G148" s="765">
        <f t="shared" si="28"/>
        <v>0</v>
      </c>
      <c r="H148" s="765">
        <f t="shared" si="28"/>
        <v>0</v>
      </c>
      <c r="I148" s="786"/>
      <c r="J148" s="765"/>
      <c r="K148" s="765"/>
      <c r="L148" s="765"/>
      <c r="M148" s="765"/>
      <c r="N148" s="765"/>
    </row>
    <row r="149" spans="1:16" x14ac:dyDescent="0.25">
      <c r="A149" s="787"/>
      <c r="B149" s="763" t="s">
        <v>248</v>
      </c>
      <c r="C149" s="764" t="s">
        <v>249</v>
      </c>
      <c r="D149" s="788" t="s">
        <v>259</v>
      </c>
      <c r="E149" s="764" t="s">
        <v>320</v>
      </c>
      <c r="F149" s="765">
        <f t="shared" si="28"/>
        <v>0</v>
      </c>
      <c r="G149" s="765">
        <f t="shared" si="28"/>
        <v>0</v>
      </c>
      <c r="H149" s="765">
        <f t="shared" si="28"/>
        <v>0</v>
      </c>
      <c r="I149" s="786"/>
      <c r="J149" s="765"/>
      <c r="K149" s="765"/>
      <c r="L149" s="765"/>
      <c r="M149" s="765"/>
      <c r="N149" s="765"/>
    </row>
    <row r="150" spans="1:16" x14ac:dyDescent="0.25">
      <c r="A150" s="787"/>
      <c r="B150" s="763" t="s">
        <v>248</v>
      </c>
      <c r="C150" s="764" t="s">
        <v>249</v>
      </c>
      <c r="D150" s="788" t="s">
        <v>259</v>
      </c>
      <c r="E150" s="764" t="s">
        <v>320</v>
      </c>
      <c r="F150" s="765">
        <f t="shared" si="28"/>
        <v>0</v>
      </c>
      <c r="G150" s="765">
        <f t="shared" si="28"/>
        <v>0</v>
      </c>
      <c r="H150" s="765">
        <f t="shared" si="28"/>
        <v>0</v>
      </c>
      <c r="I150" s="786"/>
      <c r="J150" s="765"/>
      <c r="K150" s="765"/>
      <c r="L150" s="765"/>
      <c r="M150" s="765"/>
      <c r="N150" s="765"/>
    </row>
    <row r="151" spans="1:16" x14ac:dyDescent="0.25">
      <c r="A151" s="787"/>
      <c r="B151" s="763" t="s">
        <v>248</v>
      </c>
      <c r="C151" s="764" t="s">
        <v>249</v>
      </c>
      <c r="D151" s="788" t="s">
        <v>259</v>
      </c>
      <c r="E151" s="764" t="s">
        <v>320</v>
      </c>
      <c r="F151" s="765">
        <f t="shared" si="28"/>
        <v>0</v>
      </c>
      <c r="G151" s="765">
        <f t="shared" si="28"/>
        <v>0</v>
      </c>
      <c r="H151" s="765">
        <f t="shared" si="28"/>
        <v>0</v>
      </c>
      <c r="I151" s="786"/>
      <c r="J151" s="765"/>
      <c r="K151" s="765"/>
      <c r="L151" s="765"/>
      <c r="M151" s="765"/>
      <c r="N151" s="765"/>
    </row>
    <row r="152" spans="1:16" x14ac:dyDescent="0.25">
      <c r="A152" s="787"/>
      <c r="B152" s="763" t="s">
        <v>248</v>
      </c>
      <c r="C152" s="764" t="s">
        <v>249</v>
      </c>
      <c r="D152" s="788" t="s">
        <v>259</v>
      </c>
      <c r="E152" s="764" t="s">
        <v>320</v>
      </c>
      <c r="F152" s="765">
        <f t="shared" si="28"/>
        <v>0</v>
      </c>
      <c r="G152" s="765">
        <f t="shared" si="28"/>
        <v>0</v>
      </c>
      <c r="H152" s="765">
        <f t="shared" si="28"/>
        <v>0</v>
      </c>
      <c r="I152" s="786"/>
      <c r="J152" s="765"/>
      <c r="K152" s="765"/>
      <c r="L152" s="765"/>
      <c r="M152" s="765"/>
      <c r="N152" s="765"/>
    </row>
    <row r="153" spans="1:16" s="745" customFormat="1" x14ac:dyDescent="0.25">
      <c r="A153" s="789" t="s">
        <v>1243</v>
      </c>
      <c r="B153" s="790"/>
      <c r="C153" s="791"/>
      <c r="D153" s="791"/>
      <c r="E153" s="791"/>
      <c r="F153" s="769">
        <f>I153+L153</f>
        <v>33300</v>
      </c>
      <c r="G153" s="769">
        <f t="shared" si="28"/>
        <v>19300</v>
      </c>
      <c r="H153" s="769">
        <f>K153+N153</f>
        <v>19300</v>
      </c>
      <c r="I153" s="779">
        <f>I154+I155</f>
        <v>33300</v>
      </c>
      <c r="J153" s="769">
        <f>J154+J155</f>
        <v>19300</v>
      </c>
      <c r="K153" s="769">
        <f>K154+K155</f>
        <v>19300</v>
      </c>
      <c r="L153" s="769"/>
      <c r="M153" s="769"/>
      <c r="N153" s="769"/>
      <c r="O153" s="745">
        <v>4024</v>
      </c>
    </row>
    <row r="154" spans="1:16" x14ac:dyDescent="0.25">
      <c r="A154" s="763" t="s">
        <v>1244</v>
      </c>
      <c r="B154" s="796"/>
      <c r="C154" s="764" t="s">
        <v>249</v>
      </c>
      <c r="D154" s="788" t="s">
        <v>259</v>
      </c>
      <c r="E154" s="794" t="s">
        <v>274</v>
      </c>
      <c r="F154" s="765">
        <f t="shared" si="28"/>
        <v>14100</v>
      </c>
      <c r="G154" s="765">
        <f t="shared" si="28"/>
        <v>8100</v>
      </c>
      <c r="H154" s="765">
        <f t="shared" si="28"/>
        <v>8100</v>
      </c>
      <c r="I154" s="786">
        <f>8100+3600+2400</f>
        <v>14100</v>
      </c>
      <c r="J154" s="765">
        <v>8100</v>
      </c>
      <c r="K154" s="765">
        <v>8100</v>
      </c>
      <c r="L154" s="765"/>
      <c r="M154" s="765"/>
      <c r="N154" s="765"/>
    </row>
    <row r="155" spans="1:16" x14ac:dyDescent="0.25">
      <c r="A155" s="763" t="s">
        <v>819</v>
      </c>
      <c r="B155" s="796"/>
      <c r="C155" s="764" t="s">
        <v>249</v>
      </c>
      <c r="D155" s="788" t="s">
        <v>259</v>
      </c>
      <c r="E155" s="794" t="s">
        <v>252</v>
      </c>
      <c r="F155" s="765">
        <f t="shared" si="28"/>
        <v>19200</v>
      </c>
      <c r="G155" s="765">
        <f t="shared" si="28"/>
        <v>11200</v>
      </c>
      <c r="H155" s="765">
        <f t="shared" si="28"/>
        <v>11200</v>
      </c>
      <c r="I155" s="786">
        <f>11200+4800+3200</f>
        <v>19200</v>
      </c>
      <c r="J155" s="765">
        <v>11200</v>
      </c>
      <c r="K155" s="765">
        <v>11200</v>
      </c>
      <c r="L155" s="765"/>
      <c r="M155" s="765"/>
      <c r="N155" s="765"/>
    </row>
    <row r="156" spans="1:16" s="745" customFormat="1" x14ac:dyDescent="0.25">
      <c r="A156" s="798"/>
      <c r="B156" s="790"/>
      <c r="C156" s="791"/>
      <c r="D156" s="791"/>
      <c r="E156" s="791"/>
      <c r="F156" s="769">
        <f t="shared" ref="F156:N156" si="29">SUM(F157:F175)</f>
        <v>0</v>
      </c>
      <c r="G156" s="769">
        <f>SUM(G157:G175)</f>
        <v>0</v>
      </c>
      <c r="H156" s="769">
        <f t="shared" si="29"/>
        <v>0</v>
      </c>
      <c r="I156" s="779">
        <f t="shared" si="29"/>
        <v>0</v>
      </c>
      <c r="J156" s="769">
        <f t="shared" si="29"/>
        <v>0</v>
      </c>
      <c r="K156" s="769">
        <f t="shared" si="29"/>
        <v>0</v>
      </c>
      <c r="L156" s="769">
        <f t="shared" si="29"/>
        <v>0</v>
      </c>
      <c r="M156" s="769">
        <f t="shared" si="29"/>
        <v>0</v>
      </c>
      <c r="N156" s="769">
        <f t="shared" si="29"/>
        <v>0</v>
      </c>
      <c r="O156" s="750"/>
      <c r="P156" s="762"/>
    </row>
    <row r="157" spans="1:16" x14ac:dyDescent="0.25">
      <c r="A157" s="795"/>
      <c r="B157" s="796"/>
      <c r="C157" s="794"/>
      <c r="D157" s="794"/>
      <c r="E157" s="794"/>
      <c r="F157" s="765">
        <f t="shared" ref="F157:H175" si="30">I157+L157</f>
        <v>0</v>
      </c>
      <c r="G157" s="765">
        <f t="shared" si="30"/>
        <v>0</v>
      </c>
      <c r="H157" s="765">
        <f t="shared" si="30"/>
        <v>0</v>
      </c>
      <c r="I157" s="786"/>
      <c r="J157" s="765"/>
      <c r="K157" s="765"/>
      <c r="L157" s="765"/>
      <c r="M157" s="765"/>
      <c r="N157" s="765"/>
    </row>
    <row r="158" spans="1:16" x14ac:dyDescent="0.25">
      <c r="A158" s="795"/>
      <c r="B158" s="796"/>
      <c r="C158" s="794"/>
      <c r="D158" s="794"/>
      <c r="E158" s="794"/>
      <c r="F158" s="765">
        <f t="shared" si="30"/>
        <v>0</v>
      </c>
      <c r="G158" s="765">
        <f t="shared" si="30"/>
        <v>0</v>
      </c>
      <c r="H158" s="765">
        <f t="shared" si="30"/>
        <v>0</v>
      </c>
      <c r="I158" s="786"/>
      <c r="J158" s="765"/>
      <c r="K158" s="765"/>
      <c r="L158" s="765"/>
      <c r="M158" s="765"/>
      <c r="N158" s="765"/>
    </row>
    <row r="159" spans="1:16" x14ac:dyDescent="0.25">
      <c r="A159" s="795"/>
      <c r="B159" s="796"/>
      <c r="C159" s="794"/>
      <c r="D159" s="794"/>
      <c r="E159" s="794"/>
      <c r="F159" s="765">
        <f t="shared" si="30"/>
        <v>0</v>
      </c>
      <c r="G159" s="765">
        <f t="shared" si="30"/>
        <v>0</v>
      </c>
      <c r="H159" s="765">
        <f t="shared" si="30"/>
        <v>0</v>
      </c>
      <c r="I159" s="786"/>
      <c r="J159" s="765"/>
      <c r="K159" s="765"/>
      <c r="L159" s="765"/>
      <c r="M159" s="765"/>
      <c r="N159" s="765"/>
    </row>
    <row r="160" spans="1:16" x14ac:dyDescent="0.25">
      <c r="A160" s="795"/>
      <c r="B160" s="796"/>
      <c r="C160" s="794"/>
      <c r="D160" s="794"/>
      <c r="E160" s="794"/>
      <c r="F160" s="765">
        <f t="shared" si="30"/>
        <v>0</v>
      </c>
      <c r="G160" s="765">
        <f t="shared" si="30"/>
        <v>0</v>
      </c>
      <c r="H160" s="765">
        <f t="shared" si="30"/>
        <v>0</v>
      </c>
      <c r="I160" s="786"/>
      <c r="J160" s="765"/>
      <c r="K160" s="765"/>
      <c r="L160" s="765"/>
      <c r="M160" s="765"/>
      <c r="N160" s="765"/>
    </row>
    <row r="161" spans="1:16" x14ac:dyDescent="0.25">
      <c r="A161" s="795"/>
      <c r="B161" s="796"/>
      <c r="C161" s="794"/>
      <c r="D161" s="794"/>
      <c r="E161" s="794"/>
      <c r="F161" s="765">
        <f t="shared" si="30"/>
        <v>0</v>
      </c>
      <c r="G161" s="765">
        <f t="shared" si="30"/>
        <v>0</v>
      </c>
      <c r="H161" s="765">
        <f t="shared" si="30"/>
        <v>0</v>
      </c>
      <c r="I161" s="786"/>
      <c r="J161" s="765"/>
      <c r="K161" s="765"/>
      <c r="L161" s="765"/>
      <c r="M161" s="765"/>
      <c r="N161" s="765"/>
    </row>
    <row r="162" spans="1:16" x14ac:dyDescent="0.25">
      <c r="A162" s="795"/>
      <c r="B162" s="796"/>
      <c r="C162" s="794"/>
      <c r="D162" s="794"/>
      <c r="E162" s="794"/>
      <c r="F162" s="765">
        <f t="shared" si="30"/>
        <v>0</v>
      </c>
      <c r="G162" s="765">
        <f t="shared" si="30"/>
        <v>0</v>
      </c>
      <c r="H162" s="765">
        <f t="shared" si="30"/>
        <v>0</v>
      </c>
      <c r="I162" s="786"/>
      <c r="J162" s="765"/>
      <c r="K162" s="765"/>
      <c r="L162" s="765"/>
      <c r="M162" s="765"/>
      <c r="N162" s="765"/>
    </row>
    <row r="163" spans="1:16" x14ac:dyDescent="0.25">
      <c r="A163" s="795"/>
      <c r="B163" s="796"/>
      <c r="C163" s="794"/>
      <c r="D163" s="794"/>
      <c r="E163" s="794"/>
      <c r="F163" s="765">
        <f t="shared" si="30"/>
        <v>0</v>
      </c>
      <c r="G163" s="765">
        <f t="shared" si="30"/>
        <v>0</v>
      </c>
      <c r="H163" s="765">
        <f t="shared" si="30"/>
        <v>0</v>
      </c>
      <c r="I163" s="786"/>
      <c r="J163" s="765"/>
      <c r="K163" s="765"/>
      <c r="L163" s="765"/>
      <c r="M163" s="765"/>
      <c r="N163" s="765"/>
    </row>
    <row r="164" spans="1:16" x14ac:dyDescent="0.25">
      <c r="A164" s="795"/>
      <c r="B164" s="796"/>
      <c r="C164" s="794"/>
      <c r="D164" s="794"/>
      <c r="E164" s="794"/>
      <c r="F164" s="765">
        <f t="shared" si="30"/>
        <v>0</v>
      </c>
      <c r="G164" s="765">
        <f t="shared" si="30"/>
        <v>0</v>
      </c>
      <c r="H164" s="765">
        <f t="shared" si="30"/>
        <v>0</v>
      </c>
      <c r="I164" s="786"/>
      <c r="J164" s="765"/>
      <c r="K164" s="765"/>
      <c r="L164" s="765"/>
      <c r="M164" s="765"/>
      <c r="N164" s="765"/>
    </row>
    <row r="165" spans="1:16" x14ac:dyDescent="0.25">
      <c r="A165" s="795"/>
      <c r="B165" s="796"/>
      <c r="C165" s="794"/>
      <c r="D165" s="794"/>
      <c r="E165" s="794"/>
      <c r="F165" s="765">
        <f t="shared" si="30"/>
        <v>0</v>
      </c>
      <c r="G165" s="765">
        <f t="shared" si="30"/>
        <v>0</v>
      </c>
      <c r="H165" s="765">
        <f t="shared" si="30"/>
        <v>0</v>
      </c>
      <c r="I165" s="786"/>
      <c r="J165" s="765"/>
      <c r="K165" s="765"/>
      <c r="L165" s="765"/>
      <c r="M165" s="765"/>
      <c r="N165" s="765"/>
    </row>
    <row r="166" spans="1:16" x14ac:dyDescent="0.25">
      <c r="A166" s="795"/>
      <c r="B166" s="796"/>
      <c r="C166" s="794"/>
      <c r="D166" s="794"/>
      <c r="E166" s="794"/>
      <c r="F166" s="765">
        <f t="shared" si="30"/>
        <v>0</v>
      </c>
      <c r="G166" s="765">
        <f t="shared" si="30"/>
        <v>0</v>
      </c>
      <c r="H166" s="765">
        <f t="shared" si="30"/>
        <v>0</v>
      </c>
      <c r="I166" s="786"/>
      <c r="J166" s="765"/>
      <c r="K166" s="765"/>
      <c r="L166" s="765"/>
      <c r="M166" s="765"/>
      <c r="N166" s="765"/>
    </row>
    <row r="167" spans="1:16" x14ac:dyDescent="0.25">
      <c r="A167" s="795"/>
      <c r="B167" s="796"/>
      <c r="C167" s="794"/>
      <c r="D167" s="794"/>
      <c r="E167" s="794"/>
      <c r="F167" s="765">
        <f t="shared" si="30"/>
        <v>0</v>
      </c>
      <c r="G167" s="765">
        <f t="shared" si="30"/>
        <v>0</v>
      </c>
      <c r="H167" s="765">
        <f t="shared" si="30"/>
        <v>0</v>
      </c>
      <c r="I167" s="786"/>
      <c r="J167" s="765"/>
      <c r="K167" s="765"/>
      <c r="L167" s="765"/>
      <c r="M167" s="765"/>
      <c r="N167" s="765"/>
    </row>
    <row r="168" spans="1:16" x14ac:dyDescent="0.25">
      <c r="A168" s="795"/>
      <c r="B168" s="796"/>
      <c r="C168" s="794"/>
      <c r="D168" s="794"/>
      <c r="E168" s="794"/>
      <c r="F168" s="765">
        <f t="shared" si="30"/>
        <v>0</v>
      </c>
      <c r="G168" s="765">
        <f t="shared" si="30"/>
        <v>0</v>
      </c>
      <c r="H168" s="765">
        <f t="shared" si="30"/>
        <v>0</v>
      </c>
      <c r="I168" s="786"/>
      <c r="J168" s="765"/>
      <c r="K168" s="765"/>
      <c r="L168" s="765"/>
      <c r="M168" s="765"/>
      <c r="N168" s="765"/>
    </row>
    <row r="169" spans="1:16" x14ac:dyDescent="0.25">
      <c r="A169" s="795"/>
      <c r="B169" s="796"/>
      <c r="C169" s="794"/>
      <c r="D169" s="794"/>
      <c r="E169" s="794"/>
      <c r="F169" s="765">
        <f t="shared" si="30"/>
        <v>0</v>
      </c>
      <c r="G169" s="765">
        <f t="shared" si="30"/>
        <v>0</v>
      </c>
      <c r="H169" s="765">
        <f t="shared" si="30"/>
        <v>0</v>
      </c>
      <c r="I169" s="786"/>
      <c r="J169" s="765"/>
      <c r="K169" s="765"/>
      <c r="L169" s="765"/>
      <c r="M169" s="765"/>
      <c r="N169" s="765"/>
    </row>
    <row r="170" spans="1:16" x14ac:dyDescent="0.25">
      <c r="A170" s="795"/>
      <c r="B170" s="796"/>
      <c r="C170" s="794"/>
      <c r="D170" s="794"/>
      <c r="E170" s="794"/>
      <c r="F170" s="765">
        <f t="shared" si="30"/>
        <v>0</v>
      </c>
      <c r="G170" s="765">
        <f t="shared" si="30"/>
        <v>0</v>
      </c>
      <c r="H170" s="765">
        <f t="shared" si="30"/>
        <v>0</v>
      </c>
      <c r="I170" s="786"/>
      <c r="J170" s="765"/>
      <c r="K170" s="765"/>
      <c r="L170" s="765"/>
      <c r="M170" s="765"/>
      <c r="N170" s="765"/>
    </row>
    <row r="171" spans="1:16" x14ac:dyDescent="0.25">
      <c r="A171" s="795"/>
      <c r="B171" s="796"/>
      <c r="C171" s="794"/>
      <c r="D171" s="794"/>
      <c r="E171" s="794"/>
      <c r="F171" s="765">
        <f t="shared" si="30"/>
        <v>0</v>
      </c>
      <c r="G171" s="765">
        <f t="shared" si="30"/>
        <v>0</v>
      </c>
      <c r="H171" s="765">
        <f t="shared" si="30"/>
        <v>0</v>
      </c>
      <c r="I171" s="786"/>
      <c r="J171" s="765"/>
      <c r="K171" s="765"/>
      <c r="L171" s="765"/>
      <c r="M171" s="765"/>
      <c r="N171" s="765"/>
    </row>
    <row r="172" spans="1:16" x14ac:dyDescent="0.25">
      <c r="A172" s="795"/>
      <c r="B172" s="796"/>
      <c r="C172" s="794"/>
      <c r="D172" s="794"/>
      <c r="E172" s="794"/>
      <c r="F172" s="765">
        <f t="shared" si="30"/>
        <v>0</v>
      </c>
      <c r="G172" s="765">
        <f t="shared" si="30"/>
        <v>0</v>
      </c>
      <c r="H172" s="765">
        <f t="shared" si="30"/>
        <v>0</v>
      </c>
      <c r="I172" s="786"/>
      <c r="J172" s="765"/>
      <c r="K172" s="765"/>
      <c r="L172" s="765"/>
      <c r="M172" s="765"/>
      <c r="N172" s="765"/>
    </row>
    <row r="173" spans="1:16" x14ac:dyDescent="0.25">
      <c r="A173" s="795"/>
      <c r="B173" s="796"/>
      <c r="C173" s="794"/>
      <c r="D173" s="794"/>
      <c r="E173" s="794"/>
      <c r="F173" s="765">
        <f t="shared" si="30"/>
        <v>0</v>
      </c>
      <c r="G173" s="765">
        <f t="shared" si="30"/>
        <v>0</v>
      </c>
      <c r="H173" s="765">
        <f t="shared" si="30"/>
        <v>0</v>
      </c>
      <c r="I173" s="786"/>
      <c r="J173" s="765"/>
      <c r="K173" s="765"/>
      <c r="L173" s="765"/>
      <c r="M173" s="765"/>
      <c r="N173" s="765"/>
    </row>
    <row r="174" spans="1:16" x14ac:dyDescent="0.25">
      <c r="A174" s="795"/>
      <c r="B174" s="796"/>
      <c r="C174" s="794"/>
      <c r="D174" s="794"/>
      <c r="E174" s="794"/>
      <c r="F174" s="765">
        <f t="shared" si="30"/>
        <v>0</v>
      </c>
      <c r="G174" s="765">
        <f t="shared" si="30"/>
        <v>0</v>
      </c>
      <c r="H174" s="765">
        <f t="shared" si="30"/>
        <v>0</v>
      </c>
      <c r="I174" s="786"/>
      <c r="J174" s="765"/>
      <c r="K174" s="765"/>
      <c r="L174" s="765"/>
      <c r="M174" s="765"/>
      <c r="N174" s="765"/>
    </row>
    <row r="175" spans="1:16" x14ac:dyDescent="0.25">
      <c r="A175" s="795"/>
      <c r="B175" s="796"/>
      <c r="C175" s="794"/>
      <c r="D175" s="794"/>
      <c r="E175" s="794"/>
      <c r="F175" s="765">
        <f t="shared" si="30"/>
        <v>0</v>
      </c>
      <c r="G175" s="765">
        <f t="shared" si="30"/>
        <v>0</v>
      </c>
      <c r="H175" s="765">
        <f t="shared" si="30"/>
        <v>0</v>
      </c>
      <c r="I175" s="786"/>
      <c r="J175" s="765"/>
      <c r="K175" s="765"/>
      <c r="L175" s="765"/>
      <c r="M175" s="765"/>
      <c r="N175" s="765"/>
    </row>
    <row r="176" spans="1:16" s="745" customFormat="1" x14ac:dyDescent="0.25">
      <c r="A176" s="798"/>
      <c r="B176" s="790"/>
      <c r="C176" s="791"/>
      <c r="D176" s="791"/>
      <c r="E176" s="791"/>
      <c r="F176" s="769">
        <f t="shared" ref="F176:N176" si="31">SUM(F177:F195)</f>
        <v>0</v>
      </c>
      <c r="G176" s="769">
        <f t="shared" si="31"/>
        <v>0</v>
      </c>
      <c r="H176" s="769">
        <f t="shared" si="31"/>
        <v>0</v>
      </c>
      <c r="I176" s="779">
        <f t="shared" si="31"/>
        <v>0</v>
      </c>
      <c r="J176" s="769">
        <f t="shared" si="31"/>
        <v>0</v>
      </c>
      <c r="K176" s="769">
        <f t="shared" si="31"/>
        <v>0</v>
      </c>
      <c r="L176" s="769">
        <f t="shared" si="31"/>
        <v>0</v>
      </c>
      <c r="M176" s="769">
        <f t="shared" si="31"/>
        <v>0</v>
      </c>
      <c r="N176" s="769">
        <f t="shared" si="31"/>
        <v>0</v>
      </c>
      <c r="O176" s="750"/>
      <c r="P176" s="762"/>
    </row>
    <row r="177" spans="1:14" x14ac:dyDescent="0.25">
      <c r="A177" s="795"/>
      <c r="B177" s="796"/>
      <c r="C177" s="794"/>
      <c r="D177" s="794"/>
      <c r="E177" s="794"/>
      <c r="F177" s="765">
        <f t="shared" ref="F177:H195" si="32">I177+L177</f>
        <v>0</v>
      </c>
      <c r="G177" s="765">
        <f t="shared" si="32"/>
        <v>0</v>
      </c>
      <c r="H177" s="765">
        <f t="shared" si="32"/>
        <v>0</v>
      </c>
      <c r="I177" s="786"/>
      <c r="J177" s="765"/>
      <c r="K177" s="765"/>
      <c r="L177" s="765"/>
      <c r="M177" s="765"/>
      <c r="N177" s="765"/>
    </row>
    <row r="178" spans="1:14" x14ac:dyDescent="0.25">
      <c r="A178" s="795"/>
      <c r="B178" s="796"/>
      <c r="C178" s="794"/>
      <c r="D178" s="794"/>
      <c r="E178" s="794"/>
      <c r="F178" s="765">
        <f t="shared" si="32"/>
        <v>0</v>
      </c>
      <c r="G178" s="765">
        <f t="shared" si="32"/>
        <v>0</v>
      </c>
      <c r="H178" s="765">
        <f t="shared" si="32"/>
        <v>0</v>
      </c>
      <c r="I178" s="786"/>
      <c r="J178" s="765"/>
      <c r="K178" s="765"/>
      <c r="L178" s="765"/>
      <c r="M178" s="765"/>
      <c r="N178" s="765"/>
    </row>
    <row r="179" spans="1:14" x14ac:dyDescent="0.25">
      <c r="A179" s="795"/>
      <c r="B179" s="796"/>
      <c r="C179" s="794"/>
      <c r="D179" s="794"/>
      <c r="E179" s="794"/>
      <c r="F179" s="765">
        <f t="shared" si="32"/>
        <v>0</v>
      </c>
      <c r="G179" s="765">
        <f t="shared" si="32"/>
        <v>0</v>
      </c>
      <c r="H179" s="765">
        <f t="shared" si="32"/>
        <v>0</v>
      </c>
      <c r="I179" s="786"/>
      <c r="J179" s="765"/>
      <c r="K179" s="765"/>
      <c r="L179" s="765"/>
      <c r="M179" s="765"/>
      <c r="N179" s="765"/>
    </row>
    <row r="180" spans="1:14" x14ac:dyDescent="0.25">
      <c r="A180" s="795"/>
      <c r="B180" s="796"/>
      <c r="C180" s="794"/>
      <c r="D180" s="794"/>
      <c r="E180" s="794"/>
      <c r="F180" s="765">
        <f t="shared" si="32"/>
        <v>0</v>
      </c>
      <c r="G180" s="765">
        <f t="shared" si="32"/>
        <v>0</v>
      </c>
      <c r="H180" s="765">
        <f t="shared" si="32"/>
        <v>0</v>
      </c>
      <c r="I180" s="786"/>
      <c r="J180" s="765"/>
      <c r="K180" s="765"/>
      <c r="L180" s="765"/>
      <c r="M180" s="765"/>
      <c r="N180" s="765"/>
    </row>
    <row r="181" spans="1:14" x14ac:dyDescent="0.25">
      <c r="A181" s="795"/>
      <c r="B181" s="796"/>
      <c r="C181" s="794"/>
      <c r="D181" s="794"/>
      <c r="E181" s="794"/>
      <c r="F181" s="765">
        <f t="shared" si="32"/>
        <v>0</v>
      </c>
      <c r="G181" s="765">
        <f t="shared" si="32"/>
        <v>0</v>
      </c>
      <c r="H181" s="765">
        <f t="shared" si="32"/>
        <v>0</v>
      </c>
      <c r="I181" s="786"/>
      <c r="J181" s="765"/>
      <c r="K181" s="765"/>
      <c r="L181" s="765"/>
      <c r="M181" s="765"/>
      <c r="N181" s="765"/>
    </row>
    <row r="182" spans="1:14" x14ac:dyDescent="0.25">
      <c r="A182" s="795"/>
      <c r="B182" s="796"/>
      <c r="C182" s="794"/>
      <c r="D182" s="794"/>
      <c r="E182" s="794"/>
      <c r="F182" s="765">
        <f t="shared" si="32"/>
        <v>0</v>
      </c>
      <c r="G182" s="765">
        <f t="shared" si="32"/>
        <v>0</v>
      </c>
      <c r="H182" s="765">
        <f t="shared" si="32"/>
        <v>0</v>
      </c>
      <c r="I182" s="786"/>
      <c r="J182" s="765"/>
      <c r="K182" s="765"/>
      <c r="L182" s="765"/>
      <c r="M182" s="765"/>
      <c r="N182" s="765"/>
    </row>
    <row r="183" spans="1:14" x14ac:dyDescent="0.25">
      <c r="A183" s="795"/>
      <c r="B183" s="796"/>
      <c r="C183" s="794"/>
      <c r="D183" s="794"/>
      <c r="E183" s="794"/>
      <c r="F183" s="765">
        <f t="shared" si="32"/>
        <v>0</v>
      </c>
      <c r="G183" s="765">
        <f t="shared" si="32"/>
        <v>0</v>
      </c>
      <c r="H183" s="765">
        <f t="shared" si="32"/>
        <v>0</v>
      </c>
      <c r="I183" s="786"/>
      <c r="J183" s="765"/>
      <c r="K183" s="765"/>
      <c r="L183" s="765"/>
      <c r="M183" s="765"/>
      <c r="N183" s="765"/>
    </row>
    <row r="184" spans="1:14" x14ac:dyDescent="0.25">
      <c r="A184" s="795"/>
      <c r="B184" s="796"/>
      <c r="C184" s="794"/>
      <c r="D184" s="794"/>
      <c r="E184" s="794"/>
      <c r="F184" s="765">
        <f t="shared" si="32"/>
        <v>0</v>
      </c>
      <c r="G184" s="765">
        <f t="shared" si="32"/>
        <v>0</v>
      </c>
      <c r="H184" s="765">
        <f t="shared" si="32"/>
        <v>0</v>
      </c>
      <c r="I184" s="786"/>
      <c r="J184" s="765"/>
      <c r="K184" s="765"/>
      <c r="L184" s="765"/>
      <c r="M184" s="765"/>
      <c r="N184" s="765"/>
    </row>
    <row r="185" spans="1:14" x14ac:dyDescent="0.25">
      <c r="A185" s="795"/>
      <c r="B185" s="796"/>
      <c r="C185" s="794"/>
      <c r="D185" s="794"/>
      <c r="E185" s="794"/>
      <c r="F185" s="765">
        <f t="shared" si="32"/>
        <v>0</v>
      </c>
      <c r="G185" s="765">
        <f t="shared" si="32"/>
        <v>0</v>
      </c>
      <c r="H185" s="765">
        <f t="shared" si="32"/>
        <v>0</v>
      </c>
      <c r="I185" s="786"/>
      <c r="J185" s="765"/>
      <c r="K185" s="765"/>
      <c r="L185" s="765"/>
      <c r="M185" s="765"/>
      <c r="N185" s="765"/>
    </row>
    <row r="186" spans="1:14" x14ac:dyDescent="0.25">
      <c r="A186" s="795"/>
      <c r="B186" s="796"/>
      <c r="C186" s="794"/>
      <c r="D186" s="794"/>
      <c r="E186" s="794"/>
      <c r="F186" s="765">
        <f t="shared" si="32"/>
        <v>0</v>
      </c>
      <c r="G186" s="765">
        <f t="shared" si="32"/>
        <v>0</v>
      </c>
      <c r="H186" s="765">
        <f t="shared" si="32"/>
        <v>0</v>
      </c>
      <c r="I186" s="786"/>
      <c r="J186" s="765"/>
      <c r="K186" s="765"/>
      <c r="L186" s="765"/>
      <c r="M186" s="765"/>
      <c r="N186" s="765"/>
    </row>
    <row r="187" spans="1:14" x14ac:dyDescent="0.25">
      <c r="A187" s="795"/>
      <c r="B187" s="796"/>
      <c r="C187" s="794"/>
      <c r="D187" s="794"/>
      <c r="E187" s="794"/>
      <c r="F187" s="765">
        <f t="shared" si="32"/>
        <v>0</v>
      </c>
      <c r="G187" s="765">
        <f t="shared" si="32"/>
        <v>0</v>
      </c>
      <c r="H187" s="765">
        <f t="shared" si="32"/>
        <v>0</v>
      </c>
      <c r="I187" s="786"/>
      <c r="J187" s="765"/>
      <c r="K187" s="765"/>
      <c r="L187" s="765"/>
      <c r="M187" s="765"/>
      <c r="N187" s="765"/>
    </row>
    <row r="188" spans="1:14" x14ac:dyDescent="0.25">
      <c r="A188" s="795"/>
      <c r="B188" s="796"/>
      <c r="C188" s="794"/>
      <c r="D188" s="794"/>
      <c r="E188" s="794"/>
      <c r="F188" s="765">
        <f t="shared" si="32"/>
        <v>0</v>
      </c>
      <c r="G188" s="765">
        <f t="shared" si="32"/>
        <v>0</v>
      </c>
      <c r="H188" s="765">
        <f t="shared" si="32"/>
        <v>0</v>
      </c>
      <c r="I188" s="786"/>
      <c r="J188" s="765"/>
      <c r="K188" s="765"/>
      <c r="L188" s="765"/>
      <c r="M188" s="765"/>
      <c r="N188" s="765"/>
    </row>
    <row r="189" spans="1:14" x14ac:dyDescent="0.25">
      <c r="A189" s="795"/>
      <c r="B189" s="796"/>
      <c r="C189" s="794"/>
      <c r="D189" s="794"/>
      <c r="E189" s="794"/>
      <c r="F189" s="765">
        <f t="shared" si="32"/>
        <v>0</v>
      </c>
      <c r="G189" s="765">
        <f t="shared" si="32"/>
        <v>0</v>
      </c>
      <c r="H189" s="765">
        <f t="shared" si="32"/>
        <v>0</v>
      </c>
      <c r="I189" s="786"/>
      <c r="J189" s="765"/>
      <c r="K189" s="765"/>
      <c r="L189" s="765"/>
      <c r="M189" s="765"/>
      <c r="N189" s="765"/>
    </row>
    <row r="190" spans="1:14" x14ac:dyDescent="0.25">
      <c r="A190" s="795"/>
      <c r="B190" s="796"/>
      <c r="C190" s="794"/>
      <c r="D190" s="794"/>
      <c r="E190" s="794"/>
      <c r="F190" s="765">
        <f t="shared" si="32"/>
        <v>0</v>
      </c>
      <c r="G190" s="765">
        <f t="shared" si="32"/>
        <v>0</v>
      </c>
      <c r="H190" s="765">
        <f t="shared" si="32"/>
        <v>0</v>
      </c>
      <c r="I190" s="786"/>
      <c r="J190" s="765"/>
      <c r="K190" s="765"/>
      <c r="L190" s="765"/>
      <c r="M190" s="765"/>
      <c r="N190" s="765"/>
    </row>
    <row r="191" spans="1:14" x14ac:dyDescent="0.25">
      <c r="A191" s="795"/>
      <c r="B191" s="796"/>
      <c r="C191" s="794"/>
      <c r="D191" s="794"/>
      <c r="E191" s="794"/>
      <c r="F191" s="765">
        <f t="shared" si="32"/>
        <v>0</v>
      </c>
      <c r="G191" s="765">
        <f t="shared" si="32"/>
        <v>0</v>
      </c>
      <c r="H191" s="765">
        <f t="shared" si="32"/>
        <v>0</v>
      </c>
      <c r="I191" s="786"/>
      <c r="J191" s="765"/>
      <c r="K191" s="765"/>
      <c r="L191" s="765"/>
      <c r="M191" s="765"/>
      <c r="N191" s="765"/>
    </row>
    <row r="192" spans="1:14" x14ac:dyDescent="0.25">
      <c r="A192" s="795"/>
      <c r="B192" s="796"/>
      <c r="C192" s="794"/>
      <c r="D192" s="794"/>
      <c r="E192" s="794"/>
      <c r="F192" s="765">
        <f t="shared" si="32"/>
        <v>0</v>
      </c>
      <c r="G192" s="765">
        <f t="shared" si="32"/>
        <v>0</v>
      </c>
      <c r="H192" s="765">
        <f t="shared" si="32"/>
        <v>0</v>
      </c>
      <c r="I192" s="786"/>
      <c r="J192" s="765"/>
      <c r="K192" s="765"/>
      <c r="L192" s="765"/>
      <c r="M192" s="765"/>
      <c r="N192" s="765"/>
    </row>
    <row r="193" spans="1:16" x14ac:dyDescent="0.25">
      <c r="A193" s="795"/>
      <c r="B193" s="796"/>
      <c r="C193" s="794"/>
      <c r="D193" s="794"/>
      <c r="E193" s="794"/>
      <c r="F193" s="765">
        <f t="shared" si="32"/>
        <v>0</v>
      </c>
      <c r="G193" s="765">
        <f t="shared" si="32"/>
        <v>0</v>
      </c>
      <c r="H193" s="765">
        <f t="shared" si="32"/>
        <v>0</v>
      </c>
      <c r="I193" s="786"/>
      <c r="J193" s="765"/>
      <c r="K193" s="765"/>
      <c r="L193" s="765"/>
      <c r="M193" s="765"/>
      <c r="N193" s="765"/>
    </row>
    <row r="194" spans="1:16" x14ac:dyDescent="0.25">
      <c r="A194" s="795"/>
      <c r="B194" s="796"/>
      <c r="C194" s="794"/>
      <c r="D194" s="794"/>
      <c r="E194" s="794"/>
      <c r="F194" s="765">
        <f t="shared" si="32"/>
        <v>0</v>
      </c>
      <c r="G194" s="765">
        <f t="shared" si="32"/>
        <v>0</v>
      </c>
      <c r="H194" s="765">
        <f t="shared" si="32"/>
        <v>0</v>
      </c>
      <c r="I194" s="786"/>
      <c r="J194" s="765"/>
      <c r="K194" s="765"/>
      <c r="L194" s="765"/>
      <c r="M194" s="765"/>
      <c r="N194" s="765"/>
    </row>
    <row r="195" spans="1:16" x14ac:dyDescent="0.25">
      <c r="A195" s="795"/>
      <c r="B195" s="796"/>
      <c r="C195" s="794"/>
      <c r="D195" s="794"/>
      <c r="E195" s="794"/>
      <c r="F195" s="765">
        <f t="shared" si="32"/>
        <v>0</v>
      </c>
      <c r="G195" s="765">
        <f t="shared" si="32"/>
        <v>0</v>
      </c>
      <c r="H195" s="765">
        <f t="shared" si="32"/>
        <v>0</v>
      </c>
      <c r="I195" s="786"/>
      <c r="J195" s="765"/>
      <c r="K195" s="765"/>
      <c r="L195" s="765"/>
      <c r="M195" s="765"/>
      <c r="N195" s="765"/>
    </row>
    <row r="196" spans="1:16" s="753" customFormat="1" x14ac:dyDescent="0.25">
      <c r="A196" s="756" t="s">
        <v>332</v>
      </c>
      <c r="B196" s="757"/>
      <c r="C196" s="758" t="s">
        <v>37</v>
      </c>
      <c r="D196" s="758" t="s">
        <v>37</v>
      </c>
      <c r="E196" s="758" t="s">
        <v>37</v>
      </c>
      <c r="F196" s="754">
        <f>SUM(F197,F201,F207,F214,F234,F238)</f>
        <v>57806.41</v>
      </c>
      <c r="G196" s="754">
        <f t="shared" ref="G196:N196" si="33">SUM(G197,G201,G207,G214,G234,G238)</f>
        <v>0</v>
      </c>
      <c r="H196" s="754">
        <f t="shared" si="33"/>
        <v>0</v>
      </c>
      <c r="I196" s="755">
        <f>SUM(I197,I201,I207,I214,I234,I238)</f>
        <v>57806.41</v>
      </c>
      <c r="J196" s="754">
        <f t="shared" si="33"/>
        <v>0</v>
      </c>
      <c r="K196" s="754">
        <f t="shared" si="33"/>
        <v>0</v>
      </c>
      <c r="L196" s="754">
        <f t="shared" si="33"/>
        <v>0</v>
      </c>
      <c r="M196" s="754">
        <f t="shared" si="33"/>
        <v>0</v>
      </c>
      <c r="N196" s="754">
        <f t="shared" si="33"/>
        <v>0</v>
      </c>
    </row>
    <row r="197" spans="1:16" s="745" customFormat="1" x14ac:dyDescent="0.25">
      <c r="A197" s="799" t="s">
        <v>1245</v>
      </c>
      <c r="B197" s="800"/>
      <c r="C197" s="801"/>
      <c r="D197" s="801"/>
      <c r="E197" s="801"/>
      <c r="F197" s="781">
        <f>SUM(F198:F200)</f>
        <v>15000</v>
      </c>
      <c r="G197" s="781">
        <f t="shared" ref="G197:N197" si="34">SUM(G198:G200)</f>
        <v>0</v>
      </c>
      <c r="H197" s="781">
        <f t="shared" si="34"/>
        <v>0</v>
      </c>
      <c r="I197" s="802">
        <f>SUM(I198:I200)</f>
        <v>15000</v>
      </c>
      <c r="J197" s="781">
        <f t="shared" si="34"/>
        <v>0</v>
      </c>
      <c r="K197" s="781">
        <f t="shared" si="34"/>
        <v>0</v>
      </c>
      <c r="L197" s="781">
        <f t="shared" si="34"/>
        <v>0</v>
      </c>
      <c r="M197" s="781">
        <f t="shared" si="34"/>
        <v>0</v>
      </c>
      <c r="N197" s="781">
        <f t="shared" si="34"/>
        <v>0</v>
      </c>
      <c r="O197" s="762" t="s">
        <v>333</v>
      </c>
      <c r="P197" s="762"/>
    </row>
    <row r="198" spans="1:16" x14ac:dyDescent="0.25">
      <c r="A198" s="795" t="s">
        <v>1286</v>
      </c>
      <c r="B198" s="796"/>
      <c r="C198" s="794" t="s">
        <v>249</v>
      </c>
      <c r="D198" s="794" t="s">
        <v>259</v>
      </c>
      <c r="E198" s="794" t="s">
        <v>252</v>
      </c>
      <c r="F198" s="765">
        <f t="shared" ref="F198:H200" si="35">I198+L198</f>
        <v>0</v>
      </c>
      <c r="G198" s="765">
        <f t="shared" si="35"/>
        <v>0</v>
      </c>
      <c r="H198" s="765">
        <f t="shared" si="35"/>
        <v>0</v>
      </c>
      <c r="I198" s="805"/>
      <c r="J198" s="804"/>
      <c r="K198" s="804"/>
      <c r="L198" s="804"/>
      <c r="M198" s="804"/>
      <c r="N198" s="804"/>
    </row>
    <row r="199" spans="1:16" x14ac:dyDescent="0.25">
      <c r="A199" s="795" t="s">
        <v>1246</v>
      </c>
      <c r="B199" s="803"/>
      <c r="C199" s="794" t="s">
        <v>249</v>
      </c>
      <c r="D199" s="794" t="s">
        <v>259</v>
      </c>
      <c r="E199" s="794" t="s">
        <v>274</v>
      </c>
      <c r="F199" s="765">
        <f t="shared" si="35"/>
        <v>0</v>
      </c>
      <c r="G199" s="765">
        <f t="shared" si="35"/>
        <v>0</v>
      </c>
      <c r="H199" s="765">
        <f t="shared" si="35"/>
        <v>0</v>
      </c>
      <c r="I199" s="786"/>
      <c r="J199" s="804"/>
      <c r="K199" s="804"/>
      <c r="L199" s="804"/>
      <c r="M199" s="804"/>
      <c r="N199" s="804"/>
    </row>
    <row r="200" spans="1:16" x14ac:dyDescent="0.25">
      <c r="A200" s="795" t="s">
        <v>1285</v>
      </c>
      <c r="B200" s="796"/>
      <c r="C200" s="794" t="s">
        <v>249</v>
      </c>
      <c r="D200" s="794" t="s">
        <v>259</v>
      </c>
      <c r="E200" s="794" t="s">
        <v>274</v>
      </c>
      <c r="F200" s="765">
        <f t="shared" si="35"/>
        <v>15000</v>
      </c>
      <c r="G200" s="765">
        <f t="shared" si="35"/>
        <v>0</v>
      </c>
      <c r="H200" s="765">
        <f t="shared" si="35"/>
        <v>0</v>
      </c>
      <c r="I200" s="786">
        <f>20000-5000</f>
        <v>15000</v>
      </c>
      <c r="J200" s="765"/>
      <c r="K200" s="765"/>
      <c r="L200" s="765"/>
      <c r="M200" s="765"/>
      <c r="N200" s="765"/>
      <c r="P200" s="826" t="s">
        <v>1270</v>
      </c>
    </row>
    <row r="201" spans="1:16" s="745" customFormat="1" x14ac:dyDescent="0.25">
      <c r="A201" s="798" t="s">
        <v>1247</v>
      </c>
      <c r="B201" s="806"/>
      <c r="C201" s="791"/>
      <c r="D201" s="791"/>
      <c r="E201" s="791"/>
      <c r="F201" s="769">
        <f t="shared" ref="F201:N201" si="36">SUM(F202:F206)</f>
        <v>0</v>
      </c>
      <c r="G201" s="769">
        <f t="shared" si="36"/>
        <v>0</v>
      </c>
      <c r="H201" s="769">
        <f t="shared" si="36"/>
        <v>0</v>
      </c>
      <c r="I201" s="779">
        <f t="shared" si="36"/>
        <v>0</v>
      </c>
      <c r="J201" s="769">
        <f t="shared" si="36"/>
        <v>0</v>
      </c>
      <c r="K201" s="769">
        <f t="shared" si="36"/>
        <v>0</v>
      </c>
      <c r="L201" s="769">
        <f t="shared" si="36"/>
        <v>0</v>
      </c>
      <c r="M201" s="769">
        <f t="shared" si="36"/>
        <v>0</v>
      </c>
      <c r="N201" s="769">
        <f t="shared" si="36"/>
        <v>0</v>
      </c>
      <c r="O201" s="762" t="s">
        <v>333</v>
      </c>
      <c r="P201" s="762" t="s">
        <v>334</v>
      </c>
    </row>
    <row r="202" spans="1:16" x14ac:dyDescent="0.25">
      <c r="A202" s="795"/>
      <c r="B202" s="796"/>
      <c r="C202" s="794"/>
      <c r="D202" s="794"/>
      <c r="E202" s="794"/>
      <c r="F202" s="765">
        <f t="shared" ref="F202:H206" si="37">I202+L202</f>
        <v>0</v>
      </c>
      <c r="G202" s="765">
        <f t="shared" si="37"/>
        <v>0</v>
      </c>
      <c r="H202" s="765">
        <f t="shared" si="37"/>
        <v>0</v>
      </c>
      <c r="I202" s="786"/>
      <c r="J202" s="765"/>
      <c r="K202" s="765"/>
      <c r="L202" s="765"/>
      <c r="M202" s="765"/>
      <c r="N202" s="765"/>
    </row>
    <row r="203" spans="1:16" x14ac:dyDescent="0.25">
      <c r="A203" s="795" t="s">
        <v>1248</v>
      </c>
      <c r="B203" s="796" t="s">
        <v>334</v>
      </c>
      <c r="C203" s="794" t="s">
        <v>249</v>
      </c>
      <c r="D203" s="794" t="s">
        <v>259</v>
      </c>
      <c r="E203" s="794" t="s">
        <v>252</v>
      </c>
      <c r="F203" s="765">
        <f t="shared" si="37"/>
        <v>0</v>
      </c>
      <c r="G203" s="765">
        <f t="shared" si="37"/>
        <v>0</v>
      </c>
      <c r="H203" s="765">
        <f t="shared" si="37"/>
        <v>0</v>
      </c>
      <c r="I203" s="786"/>
      <c r="J203" s="765"/>
      <c r="K203" s="765"/>
      <c r="L203" s="765"/>
      <c r="M203" s="765"/>
      <c r="N203" s="765"/>
    </row>
    <row r="204" spans="1:16" x14ac:dyDescent="0.25">
      <c r="A204" s="795" t="s">
        <v>1249</v>
      </c>
      <c r="B204" s="796" t="s">
        <v>334</v>
      </c>
      <c r="C204" s="794" t="s">
        <v>249</v>
      </c>
      <c r="D204" s="794" t="s">
        <v>259</v>
      </c>
      <c r="E204" s="794" t="s">
        <v>252</v>
      </c>
      <c r="F204" s="765">
        <f t="shared" si="37"/>
        <v>0</v>
      </c>
      <c r="G204" s="765">
        <f t="shared" si="37"/>
        <v>0</v>
      </c>
      <c r="H204" s="765">
        <f t="shared" si="37"/>
        <v>0</v>
      </c>
      <c r="I204" s="786"/>
      <c r="J204" s="765"/>
      <c r="K204" s="765"/>
      <c r="L204" s="765"/>
      <c r="M204" s="765"/>
      <c r="N204" s="765"/>
    </row>
    <row r="205" spans="1:16" x14ac:dyDescent="0.25">
      <c r="A205" s="795" t="s">
        <v>1250</v>
      </c>
      <c r="B205" s="796" t="s">
        <v>334</v>
      </c>
      <c r="C205" s="794" t="s">
        <v>249</v>
      </c>
      <c r="D205" s="794" t="s">
        <v>259</v>
      </c>
      <c r="E205" s="794" t="s">
        <v>252</v>
      </c>
      <c r="F205" s="765">
        <f t="shared" si="37"/>
        <v>0</v>
      </c>
      <c r="G205" s="765">
        <f t="shared" si="37"/>
        <v>0</v>
      </c>
      <c r="H205" s="765">
        <f t="shared" si="37"/>
        <v>0</v>
      </c>
      <c r="I205" s="786"/>
      <c r="J205" s="765"/>
      <c r="K205" s="765"/>
      <c r="L205" s="765"/>
      <c r="M205" s="765"/>
      <c r="N205" s="765"/>
    </row>
    <row r="206" spans="1:16" x14ac:dyDescent="0.25">
      <c r="A206" s="795" t="s">
        <v>1251</v>
      </c>
      <c r="B206" s="796" t="s">
        <v>334</v>
      </c>
      <c r="C206" s="794" t="s">
        <v>249</v>
      </c>
      <c r="D206" s="794" t="s">
        <v>259</v>
      </c>
      <c r="E206" s="794" t="s">
        <v>315</v>
      </c>
      <c r="F206" s="765">
        <f t="shared" si="37"/>
        <v>0</v>
      </c>
      <c r="G206" s="765">
        <f t="shared" si="37"/>
        <v>0</v>
      </c>
      <c r="H206" s="765">
        <f t="shared" si="37"/>
        <v>0</v>
      </c>
      <c r="I206" s="786"/>
      <c r="J206" s="765"/>
      <c r="K206" s="765"/>
      <c r="L206" s="765"/>
      <c r="M206" s="765"/>
      <c r="N206" s="765"/>
    </row>
    <row r="207" spans="1:16" s="745" customFormat="1" x14ac:dyDescent="0.25">
      <c r="A207" s="798" t="s">
        <v>1252</v>
      </c>
      <c r="B207" s="790"/>
      <c r="C207" s="791"/>
      <c r="D207" s="791"/>
      <c r="E207" s="791"/>
      <c r="F207" s="769">
        <f>SUM(F208:F213)</f>
        <v>21450</v>
      </c>
      <c r="G207" s="769">
        <f>SUM(G208:G210)</f>
        <v>0</v>
      </c>
      <c r="H207" s="769">
        <f>SUM(H208:H210)</f>
        <v>0</v>
      </c>
      <c r="I207" s="779">
        <f>SUM(I208:I213)</f>
        <v>21450</v>
      </c>
      <c r="J207" s="769">
        <f>SUM(J208:J210)</f>
        <v>0</v>
      </c>
      <c r="K207" s="769">
        <f>SUM(K208:K210)</f>
        <v>0</v>
      </c>
      <c r="L207" s="769">
        <f>SUM(L208:L210)</f>
        <v>0</v>
      </c>
      <c r="M207" s="769">
        <f>SUM(M208:M210)</f>
        <v>0</v>
      </c>
      <c r="N207" s="769">
        <f>SUM(N208:N210)</f>
        <v>0</v>
      </c>
      <c r="O207" s="762" t="s">
        <v>333</v>
      </c>
      <c r="P207" s="762" t="s">
        <v>1278</v>
      </c>
    </row>
    <row r="208" spans="1:16" x14ac:dyDescent="0.25">
      <c r="A208" s="795" t="s">
        <v>1253</v>
      </c>
      <c r="B208" s="803"/>
      <c r="C208" s="794" t="s">
        <v>249</v>
      </c>
      <c r="D208" s="794" t="s">
        <v>259</v>
      </c>
      <c r="E208" s="794" t="s">
        <v>274</v>
      </c>
      <c r="F208" s="765">
        <f t="shared" ref="F208:H211" si="38">I208+L208</f>
        <v>0</v>
      </c>
      <c r="G208" s="765">
        <f t="shared" si="38"/>
        <v>0</v>
      </c>
      <c r="H208" s="765">
        <f t="shared" si="38"/>
        <v>0</v>
      </c>
      <c r="I208" s="786"/>
      <c r="J208" s="804"/>
      <c r="K208" s="804"/>
      <c r="L208" s="804"/>
      <c r="M208" s="804"/>
      <c r="N208" s="804"/>
    </row>
    <row r="209" spans="1:16" x14ac:dyDescent="0.25">
      <c r="A209" s="795" t="s">
        <v>1254</v>
      </c>
      <c r="B209" s="796"/>
      <c r="C209" s="794" t="s">
        <v>249</v>
      </c>
      <c r="D209" s="794" t="s">
        <v>259</v>
      </c>
      <c r="E209" s="794" t="s">
        <v>274</v>
      </c>
      <c r="F209" s="765">
        <f t="shared" si="38"/>
        <v>0</v>
      </c>
      <c r="G209" s="765">
        <f t="shared" si="38"/>
        <v>0</v>
      </c>
      <c r="H209" s="765">
        <f t="shared" si="38"/>
        <v>0</v>
      </c>
      <c r="I209" s="786"/>
      <c r="J209" s="765"/>
      <c r="K209" s="765"/>
      <c r="L209" s="765"/>
      <c r="M209" s="765"/>
      <c r="N209" s="765"/>
    </row>
    <row r="210" spans="1:16" x14ac:dyDescent="0.25">
      <c r="A210" s="795" t="s">
        <v>1255</v>
      </c>
      <c r="B210" s="796"/>
      <c r="C210" s="794" t="s">
        <v>249</v>
      </c>
      <c r="D210" s="794" t="s">
        <v>259</v>
      </c>
      <c r="E210" s="794" t="s">
        <v>274</v>
      </c>
      <c r="F210" s="765">
        <f t="shared" si="38"/>
        <v>6450</v>
      </c>
      <c r="G210" s="765">
        <f t="shared" si="38"/>
        <v>0</v>
      </c>
      <c r="H210" s="765">
        <f t="shared" si="38"/>
        <v>0</v>
      </c>
      <c r="I210" s="786">
        <v>6450</v>
      </c>
      <c r="J210" s="765"/>
      <c r="K210" s="765"/>
      <c r="L210" s="765"/>
      <c r="M210" s="765"/>
      <c r="N210" s="765"/>
    </row>
    <row r="211" spans="1:16" x14ac:dyDescent="0.25">
      <c r="A211" s="795" t="s">
        <v>1256</v>
      </c>
      <c r="B211" s="796"/>
      <c r="C211" s="794" t="s">
        <v>249</v>
      </c>
      <c r="D211" s="794" t="s">
        <v>259</v>
      </c>
      <c r="E211" s="794" t="s">
        <v>317</v>
      </c>
      <c r="F211" s="765">
        <f t="shared" si="38"/>
        <v>0</v>
      </c>
      <c r="G211" s="765">
        <f t="shared" si="38"/>
        <v>0</v>
      </c>
      <c r="H211" s="765">
        <f t="shared" si="38"/>
        <v>0</v>
      </c>
      <c r="I211" s="786"/>
      <c r="J211" s="765"/>
      <c r="K211" s="765"/>
      <c r="L211" s="765"/>
      <c r="M211" s="765"/>
      <c r="N211" s="765"/>
    </row>
    <row r="212" spans="1:16" x14ac:dyDescent="0.25">
      <c r="A212" s="795" t="s">
        <v>1277</v>
      </c>
      <c r="B212" s="796"/>
      <c r="C212" s="794" t="s">
        <v>249</v>
      </c>
      <c r="D212" s="794" t="s">
        <v>259</v>
      </c>
      <c r="E212" s="794" t="s">
        <v>274</v>
      </c>
      <c r="F212" s="765">
        <f>I212+L212</f>
        <v>15000</v>
      </c>
      <c r="G212" s="765">
        <f>J212+M212</f>
        <v>0</v>
      </c>
      <c r="H212" s="765">
        <f>K212+N212</f>
        <v>0</v>
      </c>
      <c r="I212" s="786">
        <v>15000</v>
      </c>
      <c r="J212" s="765"/>
      <c r="K212" s="765"/>
      <c r="L212" s="765"/>
      <c r="M212" s="765"/>
      <c r="N212" s="765"/>
    </row>
    <row r="213" spans="1:16" x14ac:dyDescent="0.25">
      <c r="A213" s="795"/>
      <c r="B213" s="796"/>
      <c r="C213" s="794"/>
      <c r="D213" s="794"/>
      <c r="E213" s="794"/>
      <c r="F213" s="765"/>
      <c r="G213" s="765"/>
      <c r="H213" s="765"/>
      <c r="I213" s="786"/>
      <c r="J213" s="765"/>
      <c r="K213" s="765"/>
      <c r="L213" s="765"/>
      <c r="M213" s="765"/>
      <c r="N213" s="765"/>
    </row>
    <row r="214" spans="1:16" s="745" customFormat="1" x14ac:dyDescent="0.25">
      <c r="A214" s="798" t="s">
        <v>1289</v>
      </c>
      <c r="B214" s="790"/>
      <c r="C214" s="791"/>
      <c r="D214" s="791"/>
      <c r="E214" s="791"/>
      <c r="F214" s="769">
        <f t="shared" ref="F214:N214" si="39">SUM(F215:F233)</f>
        <v>21356.41</v>
      </c>
      <c r="G214" s="769">
        <f t="shared" si="39"/>
        <v>0</v>
      </c>
      <c r="H214" s="769">
        <f t="shared" si="39"/>
        <v>0</v>
      </c>
      <c r="I214" s="779">
        <f t="shared" si="39"/>
        <v>21356.41</v>
      </c>
      <c r="J214" s="769">
        <f t="shared" si="39"/>
        <v>0</v>
      </c>
      <c r="K214" s="769">
        <f t="shared" si="39"/>
        <v>0</v>
      </c>
      <c r="L214" s="769">
        <f t="shared" si="39"/>
        <v>0</v>
      </c>
      <c r="M214" s="769">
        <f t="shared" si="39"/>
        <v>0</v>
      </c>
      <c r="N214" s="769">
        <f t="shared" si="39"/>
        <v>0</v>
      </c>
      <c r="O214" s="762" t="s">
        <v>333</v>
      </c>
      <c r="P214" s="762" t="s">
        <v>334</v>
      </c>
    </row>
    <row r="215" spans="1:16" x14ac:dyDescent="0.25">
      <c r="A215" s="795" t="s">
        <v>1292</v>
      </c>
      <c r="B215" s="796" t="s">
        <v>334</v>
      </c>
      <c r="C215" s="794" t="s">
        <v>249</v>
      </c>
      <c r="D215" s="794" t="s">
        <v>259</v>
      </c>
      <c r="E215" s="794" t="s">
        <v>274</v>
      </c>
      <c r="F215" s="765">
        <f t="shared" ref="F215:H233" si="40">I215+L215</f>
        <v>2135.64</v>
      </c>
      <c r="G215" s="765">
        <f t="shared" si="40"/>
        <v>0</v>
      </c>
      <c r="H215" s="765">
        <f t="shared" si="40"/>
        <v>0</v>
      </c>
      <c r="I215" s="786">
        <v>2135.64</v>
      </c>
      <c r="J215" s="765"/>
      <c r="K215" s="765"/>
      <c r="L215" s="765"/>
      <c r="M215" s="765"/>
      <c r="N215" s="765"/>
      <c r="P215" s="750" t="s">
        <v>1290</v>
      </c>
    </row>
    <row r="216" spans="1:16" x14ac:dyDescent="0.25">
      <c r="A216" s="795" t="s">
        <v>1292</v>
      </c>
      <c r="B216" s="796" t="s">
        <v>334</v>
      </c>
      <c r="C216" s="794" t="s">
        <v>249</v>
      </c>
      <c r="D216" s="794" t="s">
        <v>259</v>
      </c>
      <c r="E216" s="794" t="s">
        <v>274</v>
      </c>
      <c r="F216" s="765">
        <f t="shared" si="40"/>
        <v>19220.77</v>
      </c>
      <c r="G216" s="765">
        <f t="shared" si="40"/>
        <v>0</v>
      </c>
      <c r="H216" s="765">
        <f t="shared" si="40"/>
        <v>0</v>
      </c>
      <c r="I216" s="786">
        <v>19220.77</v>
      </c>
      <c r="J216" s="765"/>
      <c r="K216" s="765"/>
      <c r="L216" s="765"/>
      <c r="M216" s="765"/>
      <c r="N216" s="765"/>
      <c r="P216" s="750" t="s">
        <v>1291</v>
      </c>
    </row>
    <row r="217" spans="1:16" x14ac:dyDescent="0.25">
      <c r="A217" s="795"/>
      <c r="B217" s="796"/>
      <c r="C217" s="794"/>
      <c r="D217" s="794"/>
      <c r="E217" s="794"/>
      <c r="F217" s="765">
        <f t="shared" si="40"/>
        <v>0</v>
      </c>
      <c r="G217" s="765">
        <f t="shared" si="40"/>
        <v>0</v>
      </c>
      <c r="H217" s="765">
        <f t="shared" si="40"/>
        <v>0</v>
      </c>
      <c r="I217" s="786"/>
      <c r="J217" s="765"/>
      <c r="K217" s="765"/>
      <c r="L217" s="765"/>
      <c r="M217" s="765"/>
      <c r="N217" s="765"/>
    </row>
    <row r="218" spans="1:16" x14ac:dyDescent="0.25">
      <c r="A218" s="795"/>
      <c r="B218" s="796"/>
      <c r="C218" s="794"/>
      <c r="D218" s="794"/>
      <c r="E218" s="794"/>
      <c r="F218" s="765">
        <f t="shared" si="40"/>
        <v>0</v>
      </c>
      <c r="G218" s="765">
        <f t="shared" si="40"/>
        <v>0</v>
      </c>
      <c r="H218" s="765">
        <f t="shared" si="40"/>
        <v>0</v>
      </c>
      <c r="I218" s="786"/>
      <c r="J218" s="765"/>
      <c r="K218" s="765"/>
      <c r="L218" s="765"/>
      <c r="M218" s="765"/>
      <c r="N218" s="765"/>
    </row>
    <row r="219" spans="1:16" x14ac:dyDescent="0.25">
      <c r="A219" s="795"/>
      <c r="B219" s="796"/>
      <c r="C219" s="794"/>
      <c r="D219" s="794"/>
      <c r="E219" s="794"/>
      <c r="F219" s="765">
        <f t="shared" si="40"/>
        <v>0</v>
      </c>
      <c r="G219" s="765">
        <f t="shared" si="40"/>
        <v>0</v>
      </c>
      <c r="H219" s="765">
        <f t="shared" si="40"/>
        <v>0</v>
      </c>
      <c r="I219" s="786"/>
      <c r="J219" s="765"/>
      <c r="K219" s="765"/>
      <c r="L219" s="765"/>
      <c r="M219" s="765"/>
      <c r="N219" s="765"/>
    </row>
    <row r="220" spans="1:16" x14ac:dyDescent="0.25">
      <c r="A220" s="795"/>
      <c r="B220" s="796"/>
      <c r="C220" s="794"/>
      <c r="D220" s="794"/>
      <c r="E220" s="794"/>
      <c r="F220" s="765">
        <f t="shared" si="40"/>
        <v>0</v>
      </c>
      <c r="G220" s="765">
        <f t="shared" si="40"/>
        <v>0</v>
      </c>
      <c r="H220" s="765">
        <f t="shared" si="40"/>
        <v>0</v>
      </c>
      <c r="I220" s="786"/>
      <c r="J220" s="765"/>
      <c r="K220" s="765"/>
      <c r="L220" s="765"/>
      <c r="M220" s="765"/>
      <c r="N220" s="765"/>
    </row>
    <row r="221" spans="1:16" x14ac:dyDescent="0.25">
      <c r="A221" s="795"/>
      <c r="B221" s="796"/>
      <c r="C221" s="794"/>
      <c r="D221" s="794"/>
      <c r="E221" s="794"/>
      <c r="F221" s="765">
        <f t="shared" si="40"/>
        <v>0</v>
      </c>
      <c r="G221" s="765">
        <f t="shared" si="40"/>
        <v>0</v>
      </c>
      <c r="H221" s="765">
        <f t="shared" si="40"/>
        <v>0</v>
      </c>
      <c r="I221" s="786"/>
      <c r="J221" s="765"/>
      <c r="K221" s="765"/>
      <c r="L221" s="765"/>
      <c r="M221" s="765"/>
      <c r="N221" s="765"/>
    </row>
    <row r="222" spans="1:16" x14ac:dyDescent="0.25">
      <c r="A222" s="795"/>
      <c r="B222" s="796"/>
      <c r="C222" s="794"/>
      <c r="D222" s="794"/>
      <c r="E222" s="794"/>
      <c r="F222" s="765">
        <f t="shared" si="40"/>
        <v>0</v>
      </c>
      <c r="G222" s="765">
        <f t="shared" si="40"/>
        <v>0</v>
      </c>
      <c r="H222" s="765">
        <f t="shared" si="40"/>
        <v>0</v>
      </c>
      <c r="I222" s="786"/>
      <c r="J222" s="765"/>
      <c r="K222" s="765"/>
      <c r="L222" s="765"/>
      <c r="M222" s="765"/>
      <c r="N222" s="765"/>
    </row>
    <row r="223" spans="1:16" x14ac:dyDescent="0.25">
      <c r="A223" s="795"/>
      <c r="B223" s="796"/>
      <c r="C223" s="794"/>
      <c r="D223" s="794"/>
      <c r="E223" s="794"/>
      <c r="F223" s="765">
        <f t="shared" si="40"/>
        <v>0</v>
      </c>
      <c r="G223" s="765">
        <f t="shared" si="40"/>
        <v>0</v>
      </c>
      <c r="H223" s="765">
        <f t="shared" si="40"/>
        <v>0</v>
      </c>
      <c r="I223" s="786"/>
      <c r="J223" s="765"/>
      <c r="K223" s="765"/>
      <c r="L223" s="765"/>
      <c r="M223" s="765"/>
      <c r="N223" s="765"/>
    </row>
    <row r="224" spans="1:16" x14ac:dyDescent="0.25">
      <c r="A224" s="795"/>
      <c r="B224" s="796"/>
      <c r="C224" s="794"/>
      <c r="D224" s="794"/>
      <c r="E224" s="794"/>
      <c r="F224" s="765">
        <f t="shared" si="40"/>
        <v>0</v>
      </c>
      <c r="G224" s="765">
        <f t="shared" si="40"/>
        <v>0</v>
      </c>
      <c r="H224" s="765">
        <f t="shared" si="40"/>
        <v>0</v>
      </c>
      <c r="I224" s="786"/>
      <c r="J224" s="765"/>
      <c r="K224" s="765"/>
      <c r="L224" s="765"/>
      <c r="M224" s="765"/>
      <c r="N224" s="765"/>
    </row>
    <row r="225" spans="1:16" x14ac:dyDescent="0.25">
      <c r="A225" s="795"/>
      <c r="B225" s="796"/>
      <c r="C225" s="794"/>
      <c r="D225" s="794"/>
      <c r="E225" s="794"/>
      <c r="F225" s="765">
        <f t="shared" si="40"/>
        <v>0</v>
      </c>
      <c r="G225" s="765">
        <f t="shared" si="40"/>
        <v>0</v>
      </c>
      <c r="H225" s="765">
        <f t="shared" si="40"/>
        <v>0</v>
      </c>
      <c r="I225" s="786"/>
      <c r="J225" s="765"/>
      <c r="K225" s="765"/>
      <c r="L225" s="765"/>
      <c r="M225" s="765"/>
      <c r="N225" s="765"/>
    </row>
    <row r="226" spans="1:16" x14ac:dyDescent="0.25">
      <c r="A226" s="795"/>
      <c r="B226" s="796"/>
      <c r="C226" s="794"/>
      <c r="D226" s="794"/>
      <c r="E226" s="794"/>
      <c r="F226" s="765">
        <f t="shared" si="40"/>
        <v>0</v>
      </c>
      <c r="G226" s="765">
        <f t="shared" si="40"/>
        <v>0</v>
      </c>
      <c r="H226" s="765">
        <f t="shared" si="40"/>
        <v>0</v>
      </c>
      <c r="I226" s="786"/>
      <c r="J226" s="765"/>
      <c r="K226" s="765"/>
      <c r="L226" s="765"/>
      <c r="M226" s="765"/>
      <c r="N226" s="765"/>
    </row>
    <row r="227" spans="1:16" x14ac:dyDescent="0.25">
      <c r="A227" s="795"/>
      <c r="B227" s="796"/>
      <c r="C227" s="794"/>
      <c r="D227" s="794"/>
      <c r="E227" s="794"/>
      <c r="F227" s="765">
        <f t="shared" si="40"/>
        <v>0</v>
      </c>
      <c r="G227" s="765">
        <f t="shared" si="40"/>
        <v>0</v>
      </c>
      <c r="H227" s="765">
        <f t="shared" si="40"/>
        <v>0</v>
      </c>
      <c r="I227" s="786"/>
      <c r="J227" s="765"/>
      <c r="K227" s="765"/>
      <c r="L227" s="765"/>
      <c r="M227" s="765"/>
      <c r="N227" s="765"/>
    </row>
    <row r="228" spans="1:16" x14ac:dyDescent="0.25">
      <c r="A228" s="795"/>
      <c r="B228" s="796"/>
      <c r="C228" s="794"/>
      <c r="D228" s="794"/>
      <c r="E228" s="794"/>
      <c r="F228" s="765">
        <f t="shared" si="40"/>
        <v>0</v>
      </c>
      <c r="G228" s="765">
        <f t="shared" si="40"/>
        <v>0</v>
      </c>
      <c r="H228" s="765">
        <f t="shared" si="40"/>
        <v>0</v>
      </c>
      <c r="I228" s="786"/>
      <c r="J228" s="765"/>
      <c r="K228" s="765"/>
      <c r="L228" s="765"/>
      <c r="M228" s="765"/>
      <c r="N228" s="765"/>
    </row>
    <row r="229" spans="1:16" x14ac:dyDescent="0.25">
      <c r="A229" s="795"/>
      <c r="B229" s="796"/>
      <c r="C229" s="794"/>
      <c r="D229" s="794"/>
      <c r="E229" s="794"/>
      <c r="F229" s="765">
        <f t="shared" si="40"/>
        <v>0</v>
      </c>
      <c r="G229" s="765">
        <f t="shared" si="40"/>
        <v>0</v>
      </c>
      <c r="H229" s="765">
        <f t="shared" si="40"/>
        <v>0</v>
      </c>
      <c r="I229" s="786"/>
      <c r="J229" s="765"/>
      <c r="K229" s="765"/>
      <c r="L229" s="765"/>
      <c r="M229" s="765"/>
      <c r="N229" s="765"/>
    </row>
    <row r="230" spans="1:16" x14ac:dyDescent="0.25">
      <c r="A230" s="795"/>
      <c r="B230" s="796"/>
      <c r="C230" s="794"/>
      <c r="D230" s="794"/>
      <c r="E230" s="794"/>
      <c r="F230" s="765">
        <f t="shared" si="40"/>
        <v>0</v>
      </c>
      <c r="G230" s="765">
        <f t="shared" si="40"/>
        <v>0</v>
      </c>
      <c r="H230" s="765">
        <f t="shared" si="40"/>
        <v>0</v>
      </c>
      <c r="I230" s="786"/>
      <c r="J230" s="765"/>
      <c r="K230" s="765"/>
      <c r="L230" s="765"/>
      <c r="M230" s="765"/>
      <c r="N230" s="765"/>
    </row>
    <row r="231" spans="1:16" x14ac:dyDescent="0.25">
      <c r="A231" s="795"/>
      <c r="B231" s="796"/>
      <c r="C231" s="794"/>
      <c r="D231" s="794"/>
      <c r="E231" s="794"/>
      <c r="F231" s="765">
        <f t="shared" si="40"/>
        <v>0</v>
      </c>
      <c r="G231" s="765">
        <f t="shared" si="40"/>
        <v>0</v>
      </c>
      <c r="H231" s="765">
        <f t="shared" si="40"/>
        <v>0</v>
      </c>
      <c r="I231" s="786"/>
      <c r="J231" s="765"/>
      <c r="K231" s="765"/>
      <c r="L231" s="765"/>
      <c r="M231" s="765"/>
      <c r="N231" s="765"/>
    </row>
    <row r="232" spans="1:16" x14ac:dyDescent="0.25">
      <c r="A232" s="795"/>
      <c r="B232" s="796"/>
      <c r="C232" s="794"/>
      <c r="D232" s="794"/>
      <c r="E232" s="794"/>
      <c r="F232" s="765">
        <f t="shared" si="40"/>
        <v>0</v>
      </c>
      <c r="G232" s="765">
        <f t="shared" si="40"/>
        <v>0</v>
      </c>
      <c r="H232" s="765">
        <f t="shared" si="40"/>
        <v>0</v>
      </c>
      <c r="I232" s="786"/>
      <c r="J232" s="765"/>
      <c r="K232" s="765"/>
      <c r="L232" s="765"/>
      <c r="M232" s="765"/>
      <c r="N232" s="765"/>
    </row>
    <row r="233" spans="1:16" x14ac:dyDescent="0.25">
      <c r="A233" s="795"/>
      <c r="B233" s="796"/>
      <c r="C233" s="794"/>
      <c r="D233" s="794"/>
      <c r="E233" s="794"/>
      <c r="F233" s="765">
        <f t="shared" si="40"/>
        <v>0</v>
      </c>
      <c r="G233" s="765">
        <f t="shared" si="40"/>
        <v>0</v>
      </c>
      <c r="H233" s="765">
        <f t="shared" si="40"/>
        <v>0</v>
      </c>
      <c r="I233" s="786"/>
      <c r="J233" s="765"/>
      <c r="K233" s="765"/>
      <c r="L233" s="765"/>
      <c r="M233" s="765"/>
      <c r="N233" s="765"/>
    </row>
    <row r="234" spans="1:16" s="745" customFormat="1" x14ac:dyDescent="0.25">
      <c r="A234" s="807"/>
      <c r="B234" s="790"/>
      <c r="C234" s="791"/>
      <c r="D234" s="791"/>
      <c r="E234" s="791"/>
      <c r="F234" s="769">
        <f t="shared" ref="F234:N234" si="41">SUM(F235:F237)</f>
        <v>0</v>
      </c>
      <c r="G234" s="769">
        <f t="shared" si="41"/>
        <v>0</v>
      </c>
      <c r="H234" s="769">
        <f t="shared" si="41"/>
        <v>0</v>
      </c>
      <c r="I234" s="779">
        <f t="shared" si="41"/>
        <v>0</v>
      </c>
      <c r="J234" s="769">
        <f t="shared" si="41"/>
        <v>0</v>
      </c>
      <c r="K234" s="769">
        <f t="shared" si="41"/>
        <v>0</v>
      </c>
      <c r="L234" s="769">
        <f t="shared" si="41"/>
        <v>0</v>
      </c>
      <c r="M234" s="769">
        <f t="shared" si="41"/>
        <v>0</v>
      </c>
      <c r="N234" s="769">
        <f t="shared" si="41"/>
        <v>0</v>
      </c>
      <c r="O234" s="762" t="s">
        <v>333</v>
      </c>
      <c r="P234" s="762"/>
    </row>
    <row r="235" spans="1:16" x14ac:dyDescent="0.25">
      <c r="A235" s="795"/>
      <c r="B235" s="796"/>
      <c r="C235" s="794"/>
      <c r="D235" s="794"/>
      <c r="E235" s="794"/>
      <c r="F235" s="765">
        <f t="shared" ref="F235:H237" si="42">I235+L235</f>
        <v>0</v>
      </c>
      <c r="G235" s="765">
        <f t="shared" si="42"/>
        <v>0</v>
      </c>
      <c r="H235" s="765">
        <f t="shared" si="42"/>
        <v>0</v>
      </c>
      <c r="I235" s="786"/>
      <c r="J235" s="765"/>
      <c r="K235" s="765"/>
      <c r="L235" s="765"/>
      <c r="M235" s="765"/>
      <c r="N235" s="765"/>
    </row>
    <row r="236" spans="1:16" x14ac:dyDescent="0.25">
      <c r="A236" s="795"/>
      <c r="B236" s="796"/>
      <c r="C236" s="794"/>
      <c r="D236" s="794"/>
      <c r="E236" s="794"/>
      <c r="F236" s="765">
        <f t="shared" si="42"/>
        <v>0</v>
      </c>
      <c r="G236" s="765">
        <f t="shared" si="42"/>
        <v>0</v>
      </c>
      <c r="H236" s="765">
        <f t="shared" si="42"/>
        <v>0</v>
      </c>
      <c r="I236" s="786"/>
      <c r="J236" s="765"/>
      <c r="K236" s="765"/>
      <c r="L236" s="765"/>
      <c r="M236" s="765"/>
      <c r="N236" s="765"/>
    </row>
    <row r="237" spans="1:16" x14ac:dyDescent="0.25">
      <c r="A237" s="795"/>
      <c r="B237" s="796"/>
      <c r="C237" s="794"/>
      <c r="D237" s="794"/>
      <c r="E237" s="794"/>
      <c r="F237" s="765">
        <f t="shared" si="42"/>
        <v>0</v>
      </c>
      <c r="G237" s="765">
        <f t="shared" si="42"/>
        <v>0</v>
      </c>
      <c r="H237" s="765">
        <f t="shared" si="42"/>
        <v>0</v>
      </c>
      <c r="I237" s="786"/>
      <c r="J237" s="765"/>
      <c r="K237" s="765"/>
      <c r="L237" s="765"/>
      <c r="M237" s="765"/>
      <c r="N237" s="765"/>
    </row>
    <row r="238" spans="1:16" s="745" customFormat="1" x14ac:dyDescent="0.25">
      <c r="A238" s="807"/>
      <c r="B238" s="790"/>
      <c r="C238" s="791"/>
      <c r="D238" s="791"/>
      <c r="E238" s="791"/>
      <c r="F238" s="769">
        <f t="shared" ref="F238:N238" si="43">SUM(F239:F241)</f>
        <v>0</v>
      </c>
      <c r="G238" s="769">
        <f t="shared" si="43"/>
        <v>0</v>
      </c>
      <c r="H238" s="769">
        <f t="shared" si="43"/>
        <v>0</v>
      </c>
      <c r="I238" s="779">
        <f t="shared" si="43"/>
        <v>0</v>
      </c>
      <c r="J238" s="769">
        <f t="shared" si="43"/>
        <v>0</v>
      </c>
      <c r="K238" s="769">
        <f t="shared" si="43"/>
        <v>0</v>
      </c>
      <c r="L238" s="769">
        <f t="shared" si="43"/>
        <v>0</v>
      </c>
      <c r="M238" s="769">
        <f t="shared" si="43"/>
        <v>0</v>
      </c>
      <c r="N238" s="769">
        <f t="shared" si="43"/>
        <v>0</v>
      </c>
      <c r="O238" s="762" t="s">
        <v>333</v>
      </c>
      <c r="P238" s="762"/>
    </row>
    <row r="239" spans="1:16" x14ac:dyDescent="0.25">
      <c r="A239" s="795"/>
      <c r="B239" s="796"/>
      <c r="C239" s="794"/>
      <c r="D239" s="794"/>
      <c r="E239" s="794"/>
      <c r="F239" s="765">
        <f t="shared" ref="F239:H241" si="44">I239+L239</f>
        <v>0</v>
      </c>
      <c r="G239" s="765">
        <f t="shared" si="44"/>
        <v>0</v>
      </c>
      <c r="H239" s="765">
        <f t="shared" si="44"/>
        <v>0</v>
      </c>
      <c r="I239" s="786"/>
      <c r="J239" s="765"/>
      <c r="K239" s="765"/>
      <c r="L239" s="765"/>
      <c r="M239" s="765"/>
      <c r="N239" s="765"/>
    </row>
    <row r="240" spans="1:16" x14ac:dyDescent="0.25">
      <c r="A240" s="795"/>
      <c r="B240" s="796"/>
      <c r="C240" s="794"/>
      <c r="D240" s="794"/>
      <c r="E240" s="794"/>
      <c r="F240" s="765">
        <f t="shared" si="44"/>
        <v>0</v>
      </c>
      <c r="G240" s="765">
        <f t="shared" si="44"/>
        <v>0</v>
      </c>
      <c r="H240" s="765">
        <f t="shared" si="44"/>
        <v>0</v>
      </c>
      <c r="I240" s="786"/>
      <c r="J240" s="765"/>
      <c r="K240" s="765"/>
      <c r="L240" s="765"/>
      <c r="M240" s="765"/>
      <c r="N240" s="765"/>
    </row>
    <row r="241" spans="1:16" x14ac:dyDescent="0.25">
      <c r="A241" s="795"/>
      <c r="B241" s="796"/>
      <c r="C241" s="794"/>
      <c r="D241" s="794"/>
      <c r="E241" s="794"/>
      <c r="F241" s="765">
        <f t="shared" si="44"/>
        <v>0</v>
      </c>
      <c r="G241" s="765">
        <f t="shared" si="44"/>
        <v>0</v>
      </c>
      <c r="H241" s="765">
        <f t="shared" si="44"/>
        <v>0</v>
      </c>
      <c r="I241" s="786"/>
      <c r="J241" s="765"/>
      <c r="K241" s="765"/>
      <c r="L241" s="765"/>
      <c r="M241" s="765"/>
      <c r="N241" s="765"/>
    </row>
    <row r="242" spans="1:16" s="753" customFormat="1" x14ac:dyDescent="0.25">
      <c r="A242" s="756" t="s">
        <v>1257</v>
      </c>
      <c r="B242" s="757"/>
      <c r="C242" s="758" t="s">
        <v>37</v>
      </c>
      <c r="D242" s="758" t="s">
        <v>37</v>
      </c>
      <c r="E242" s="758" t="s">
        <v>37</v>
      </c>
      <c r="F242" s="754">
        <f>SUM(F243,F247,F251,F255)</f>
        <v>0</v>
      </c>
      <c r="G242" s="754">
        <f t="shared" ref="G242:N242" si="45">SUM(G243,G247,G251,G255)</f>
        <v>0</v>
      </c>
      <c r="H242" s="754">
        <f t="shared" si="45"/>
        <v>0</v>
      </c>
      <c r="I242" s="755">
        <f t="shared" si="45"/>
        <v>0</v>
      </c>
      <c r="J242" s="754">
        <f t="shared" si="45"/>
        <v>0</v>
      </c>
      <c r="K242" s="754">
        <f t="shared" si="45"/>
        <v>0</v>
      </c>
      <c r="L242" s="754">
        <f t="shared" si="45"/>
        <v>0</v>
      </c>
      <c r="M242" s="754">
        <f t="shared" si="45"/>
        <v>0</v>
      </c>
      <c r="N242" s="754">
        <f t="shared" si="45"/>
        <v>0</v>
      </c>
    </row>
    <row r="243" spans="1:16" s="745" customFormat="1" x14ac:dyDescent="0.25">
      <c r="A243" s="807"/>
      <c r="B243" s="790"/>
      <c r="C243" s="791"/>
      <c r="D243" s="791"/>
      <c r="E243" s="791"/>
      <c r="F243" s="769">
        <f t="shared" ref="F243:N243" si="46">SUM(F244:F246)</f>
        <v>0</v>
      </c>
      <c r="G243" s="769">
        <f t="shared" si="46"/>
        <v>0</v>
      </c>
      <c r="H243" s="769">
        <f t="shared" si="46"/>
        <v>0</v>
      </c>
      <c r="I243" s="779">
        <f t="shared" si="46"/>
        <v>0</v>
      </c>
      <c r="J243" s="769">
        <f t="shared" si="46"/>
        <v>0</v>
      </c>
      <c r="K243" s="769">
        <f t="shared" si="46"/>
        <v>0</v>
      </c>
      <c r="L243" s="769">
        <f t="shared" si="46"/>
        <v>0</v>
      </c>
      <c r="M243" s="769">
        <f t="shared" si="46"/>
        <v>0</v>
      </c>
      <c r="N243" s="769">
        <f t="shared" si="46"/>
        <v>0</v>
      </c>
      <c r="O243" s="762" t="s">
        <v>335</v>
      </c>
      <c r="P243" s="762"/>
    </row>
    <row r="244" spans="1:16" x14ac:dyDescent="0.25">
      <c r="A244" s="795"/>
      <c r="B244" s="796"/>
      <c r="C244" s="794"/>
      <c r="D244" s="794"/>
      <c r="E244" s="794"/>
      <c r="F244" s="765">
        <f t="shared" ref="F244:H246" si="47">I244+L244</f>
        <v>0</v>
      </c>
      <c r="G244" s="765">
        <f t="shared" si="47"/>
        <v>0</v>
      </c>
      <c r="H244" s="765">
        <f t="shared" si="47"/>
        <v>0</v>
      </c>
      <c r="I244" s="786"/>
      <c r="J244" s="765"/>
      <c r="K244" s="765"/>
      <c r="L244" s="765"/>
      <c r="M244" s="765"/>
      <c r="N244" s="765"/>
    </row>
    <row r="245" spans="1:16" x14ac:dyDescent="0.25">
      <c r="A245" s="795"/>
      <c r="B245" s="796"/>
      <c r="C245" s="794"/>
      <c r="D245" s="794"/>
      <c r="E245" s="794"/>
      <c r="F245" s="765">
        <f t="shared" si="47"/>
        <v>0</v>
      </c>
      <c r="G245" s="765">
        <f t="shared" si="47"/>
        <v>0</v>
      </c>
      <c r="H245" s="765">
        <f t="shared" si="47"/>
        <v>0</v>
      </c>
      <c r="I245" s="786"/>
      <c r="J245" s="765"/>
      <c r="K245" s="765"/>
      <c r="L245" s="765"/>
      <c r="M245" s="765"/>
      <c r="N245" s="765"/>
    </row>
    <row r="246" spans="1:16" x14ac:dyDescent="0.25">
      <c r="A246" s="795"/>
      <c r="B246" s="796"/>
      <c r="C246" s="794"/>
      <c r="D246" s="794"/>
      <c r="E246" s="794"/>
      <c r="F246" s="765">
        <f t="shared" si="47"/>
        <v>0</v>
      </c>
      <c r="G246" s="765">
        <f t="shared" si="47"/>
        <v>0</v>
      </c>
      <c r="H246" s="765">
        <f t="shared" si="47"/>
        <v>0</v>
      </c>
      <c r="I246" s="786"/>
      <c r="J246" s="765"/>
      <c r="K246" s="765"/>
      <c r="L246" s="765"/>
      <c r="M246" s="765"/>
      <c r="N246" s="765"/>
    </row>
    <row r="247" spans="1:16" s="745" customFormat="1" x14ac:dyDescent="0.25">
      <c r="A247" s="807"/>
      <c r="B247" s="790"/>
      <c r="C247" s="791"/>
      <c r="D247" s="791"/>
      <c r="E247" s="791"/>
      <c r="F247" s="769">
        <f t="shared" ref="F247:N247" si="48">SUM(F248:F250)</f>
        <v>0</v>
      </c>
      <c r="G247" s="769">
        <f t="shared" si="48"/>
        <v>0</v>
      </c>
      <c r="H247" s="769">
        <f t="shared" si="48"/>
        <v>0</v>
      </c>
      <c r="I247" s="779">
        <f t="shared" si="48"/>
        <v>0</v>
      </c>
      <c r="J247" s="769">
        <f t="shared" si="48"/>
        <v>0</v>
      </c>
      <c r="K247" s="769">
        <f t="shared" si="48"/>
        <v>0</v>
      </c>
      <c r="L247" s="769">
        <f t="shared" si="48"/>
        <v>0</v>
      </c>
      <c r="M247" s="769">
        <f t="shared" si="48"/>
        <v>0</v>
      </c>
      <c r="N247" s="769">
        <f t="shared" si="48"/>
        <v>0</v>
      </c>
      <c r="O247" s="762" t="s">
        <v>335</v>
      </c>
      <c r="P247" s="762"/>
    </row>
    <row r="248" spans="1:16" x14ac:dyDescent="0.25">
      <c r="A248" s="795"/>
      <c r="B248" s="796"/>
      <c r="C248" s="794"/>
      <c r="D248" s="794"/>
      <c r="E248" s="794"/>
      <c r="F248" s="765">
        <f t="shared" ref="F248:H250" si="49">I248+L248</f>
        <v>0</v>
      </c>
      <c r="G248" s="765">
        <f t="shared" si="49"/>
        <v>0</v>
      </c>
      <c r="H248" s="765">
        <f t="shared" si="49"/>
        <v>0</v>
      </c>
      <c r="I248" s="786"/>
      <c r="J248" s="765"/>
      <c r="K248" s="765"/>
      <c r="L248" s="765"/>
      <c r="M248" s="765"/>
      <c r="N248" s="765"/>
    </row>
    <row r="249" spans="1:16" x14ac:dyDescent="0.25">
      <c r="A249" s="795"/>
      <c r="B249" s="796"/>
      <c r="C249" s="794"/>
      <c r="D249" s="794"/>
      <c r="E249" s="794"/>
      <c r="F249" s="765">
        <f t="shared" si="49"/>
        <v>0</v>
      </c>
      <c r="G249" s="765">
        <f t="shared" si="49"/>
        <v>0</v>
      </c>
      <c r="H249" s="765">
        <f t="shared" si="49"/>
        <v>0</v>
      </c>
      <c r="I249" s="786"/>
      <c r="J249" s="765"/>
      <c r="K249" s="765"/>
      <c r="L249" s="765"/>
      <c r="M249" s="765"/>
      <c r="N249" s="765"/>
    </row>
    <row r="250" spans="1:16" x14ac:dyDescent="0.25">
      <c r="A250" s="795"/>
      <c r="B250" s="796"/>
      <c r="C250" s="794"/>
      <c r="D250" s="794"/>
      <c r="E250" s="794"/>
      <c r="F250" s="765">
        <f t="shared" si="49"/>
        <v>0</v>
      </c>
      <c r="G250" s="765">
        <f t="shared" si="49"/>
        <v>0</v>
      </c>
      <c r="H250" s="765">
        <f t="shared" si="49"/>
        <v>0</v>
      </c>
      <c r="I250" s="786"/>
      <c r="J250" s="765"/>
      <c r="K250" s="765"/>
      <c r="L250" s="765"/>
      <c r="M250" s="765"/>
      <c r="N250" s="765"/>
    </row>
    <row r="251" spans="1:16" s="745" customFormat="1" x14ac:dyDescent="0.25">
      <c r="A251" s="807"/>
      <c r="B251" s="790"/>
      <c r="C251" s="791"/>
      <c r="D251" s="791"/>
      <c r="E251" s="791"/>
      <c r="F251" s="769">
        <f t="shared" ref="F251:N251" si="50">SUM(F252:F254)</f>
        <v>0</v>
      </c>
      <c r="G251" s="769">
        <f t="shared" si="50"/>
        <v>0</v>
      </c>
      <c r="H251" s="769">
        <f t="shared" si="50"/>
        <v>0</v>
      </c>
      <c r="I251" s="779">
        <f t="shared" si="50"/>
        <v>0</v>
      </c>
      <c r="J251" s="769">
        <f t="shared" si="50"/>
        <v>0</v>
      </c>
      <c r="K251" s="769">
        <f t="shared" si="50"/>
        <v>0</v>
      </c>
      <c r="L251" s="769">
        <f t="shared" si="50"/>
        <v>0</v>
      </c>
      <c r="M251" s="769">
        <f t="shared" si="50"/>
        <v>0</v>
      </c>
      <c r="N251" s="769">
        <f t="shared" si="50"/>
        <v>0</v>
      </c>
      <c r="O251" s="762" t="s">
        <v>335</v>
      </c>
      <c r="P251" s="762"/>
    </row>
    <row r="252" spans="1:16" x14ac:dyDescent="0.25">
      <c r="A252" s="795"/>
      <c r="B252" s="796"/>
      <c r="C252" s="794"/>
      <c r="D252" s="794"/>
      <c r="E252" s="794"/>
      <c r="F252" s="765">
        <f t="shared" ref="F252:H254" si="51">I252+L252</f>
        <v>0</v>
      </c>
      <c r="G252" s="765">
        <f t="shared" si="51"/>
        <v>0</v>
      </c>
      <c r="H252" s="765">
        <f t="shared" si="51"/>
        <v>0</v>
      </c>
      <c r="I252" s="786"/>
      <c r="J252" s="765"/>
      <c r="K252" s="765"/>
      <c r="L252" s="765"/>
      <c r="M252" s="765"/>
      <c r="N252" s="765"/>
    </row>
    <row r="253" spans="1:16" x14ac:dyDescent="0.25">
      <c r="A253" s="795"/>
      <c r="B253" s="796"/>
      <c r="C253" s="794"/>
      <c r="D253" s="794"/>
      <c r="E253" s="794"/>
      <c r="F253" s="765">
        <f t="shared" si="51"/>
        <v>0</v>
      </c>
      <c r="G253" s="765">
        <f t="shared" si="51"/>
        <v>0</v>
      </c>
      <c r="H253" s="765">
        <f t="shared" si="51"/>
        <v>0</v>
      </c>
      <c r="I253" s="786"/>
      <c r="J253" s="765"/>
      <c r="K253" s="765"/>
      <c r="L253" s="765"/>
      <c r="M253" s="765"/>
      <c r="N253" s="765"/>
    </row>
    <row r="254" spans="1:16" x14ac:dyDescent="0.25">
      <c r="A254" s="795"/>
      <c r="B254" s="796"/>
      <c r="C254" s="794"/>
      <c r="D254" s="794"/>
      <c r="E254" s="794"/>
      <c r="F254" s="765">
        <f t="shared" si="51"/>
        <v>0</v>
      </c>
      <c r="G254" s="765">
        <f t="shared" si="51"/>
        <v>0</v>
      </c>
      <c r="H254" s="765">
        <f t="shared" si="51"/>
        <v>0</v>
      </c>
      <c r="I254" s="786"/>
      <c r="J254" s="765"/>
      <c r="K254" s="765"/>
      <c r="L254" s="765"/>
      <c r="M254" s="765"/>
      <c r="N254" s="765"/>
    </row>
    <row r="255" spans="1:16" s="745" customFormat="1" x14ac:dyDescent="0.25">
      <c r="A255" s="807"/>
      <c r="B255" s="790"/>
      <c r="C255" s="791"/>
      <c r="D255" s="791"/>
      <c r="E255" s="791"/>
      <c r="F255" s="769">
        <f t="shared" ref="F255:N255" si="52">SUM(F256:F258)</f>
        <v>0</v>
      </c>
      <c r="G255" s="769">
        <f t="shared" si="52"/>
        <v>0</v>
      </c>
      <c r="H255" s="769">
        <f t="shared" si="52"/>
        <v>0</v>
      </c>
      <c r="I255" s="779">
        <f t="shared" si="52"/>
        <v>0</v>
      </c>
      <c r="J255" s="769">
        <f t="shared" si="52"/>
        <v>0</v>
      </c>
      <c r="K255" s="769">
        <f t="shared" si="52"/>
        <v>0</v>
      </c>
      <c r="L255" s="769">
        <f t="shared" si="52"/>
        <v>0</v>
      </c>
      <c r="M255" s="769">
        <f t="shared" si="52"/>
        <v>0</v>
      </c>
      <c r="N255" s="769">
        <f t="shared" si="52"/>
        <v>0</v>
      </c>
      <c r="O255" s="762" t="s">
        <v>335</v>
      </c>
      <c r="P255" s="762"/>
    </row>
    <row r="256" spans="1:16" x14ac:dyDescent="0.25">
      <c r="A256" s="795"/>
      <c r="B256" s="796"/>
      <c r="C256" s="794"/>
      <c r="D256" s="794"/>
      <c r="E256" s="794"/>
      <c r="F256" s="765">
        <f t="shared" ref="F256:H258" si="53">I256+L256</f>
        <v>0</v>
      </c>
      <c r="G256" s="765">
        <f t="shared" si="53"/>
        <v>0</v>
      </c>
      <c r="H256" s="765">
        <f t="shared" si="53"/>
        <v>0</v>
      </c>
      <c r="I256" s="786"/>
      <c r="J256" s="765"/>
      <c r="K256" s="765"/>
      <c r="L256" s="765"/>
      <c r="M256" s="765"/>
      <c r="N256" s="765"/>
    </row>
    <row r="257" spans="1:16" x14ac:dyDescent="0.25">
      <c r="A257" s="795"/>
      <c r="B257" s="796"/>
      <c r="C257" s="794"/>
      <c r="D257" s="794"/>
      <c r="E257" s="794"/>
      <c r="F257" s="765">
        <f t="shared" si="53"/>
        <v>0</v>
      </c>
      <c r="G257" s="765">
        <f t="shared" si="53"/>
        <v>0</v>
      </c>
      <c r="H257" s="765">
        <f t="shared" si="53"/>
        <v>0</v>
      </c>
      <c r="I257" s="786"/>
      <c r="J257" s="765"/>
      <c r="K257" s="765"/>
      <c r="L257" s="765"/>
      <c r="M257" s="765"/>
      <c r="N257" s="765"/>
    </row>
    <row r="258" spans="1:16" x14ac:dyDescent="0.25">
      <c r="A258" s="795"/>
      <c r="B258" s="796"/>
      <c r="C258" s="794"/>
      <c r="D258" s="794"/>
      <c r="E258" s="794"/>
      <c r="F258" s="765">
        <f t="shared" si="53"/>
        <v>0</v>
      </c>
      <c r="G258" s="765">
        <f t="shared" si="53"/>
        <v>0</v>
      </c>
      <c r="H258" s="765">
        <f t="shared" si="53"/>
        <v>0</v>
      </c>
      <c r="I258" s="786"/>
      <c r="J258" s="765"/>
      <c r="K258" s="765"/>
      <c r="L258" s="765"/>
      <c r="M258" s="765"/>
      <c r="N258" s="765"/>
    </row>
    <row r="259" spans="1:16" ht="31.5" customHeight="1" x14ac:dyDescent="0.25">
      <c r="A259" s="808"/>
      <c r="B259" s="809"/>
      <c r="C259" s="810"/>
      <c r="D259" s="810"/>
      <c r="E259" s="810"/>
      <c r="F259" s="811"/>
      <c r="G259" s="811"/>
      <c r="H259" s="811"/>
      <c r="I259" s="812"/>
      <c r="J259" s="811"/>
      <c r="K259" s="811"/>
      <c r="L259" s="811"/>
      <c r="M259" s="811"/>
      <c r="N259" s="811"/>
      <c r="P259" s="813"/>
    </row>
    <row r="260" spans="1:16" x14ac:dyDescent="0.25">
      <c r="A260" s="808" t="s">
        <v>239</v>
      </c>
      <c r="B260" s="809"/>
      <c r="C260" s="810"/>
      <c r="D260" s="810">
        <v>244</v>
      </c>
      <c r="E260" s="810"/>
      <c r="F260" s="811">
        <f t="shared" ref="F260:L260" si="54">SUM(F13,F21,F57,F60,F90,F91,F102,F109)</f>
        <v>1369565.09</v>
      </c>
      <c r="G260" s="811">
        <f t="shared" si="54"/>
        <v>747098.86</v>
      </c>
      <c r="H260" s="811">
        <f t="shared" si="54"/>
        <v>747098.86</v>
      </c>
      <c r="I260" s="812">
        <f t="shared" si="54"/>
        <v>1369565.09</v>
      </c>
      <c r="J260" s="811">
        <f t="shared" si="54"/>
        <v>747098.86</v>
      </c>
      <c r="K260" s="811">
        <f t="shared" si="54"/>
        <v>747098.86</v>
      </c>
      <c r="L260" s="811">
        <f t="shared" si="54"/>
        <v>0</v>
      </c>
      <c r="M260" s="811"/>
      <c r="N260" s="811"/>
    </row>
    <row r="261" spans="1:16" x14ac:dyDescent="0.25">
      <c r="A261" s="814" t="s">
        <v>336</v>
      </c>
      <c r="B261" s="809"/>
      <c r="C261" s="810"/>
      <c r="D261" s="810"/>
      <c r="E261" s="810">
        <v>220</v>
      </c>
      <c r="F261" s="811">
        <f>F260-F262-F263</f>
        <v>969565.09</v>
      </c>
      <c r="G261" s="811">
        <f t="shared" ref="G261:L261" si="55">G260-G262-G263</f>
        <v>595736.52</v>
      </c>
      <c r="H261" s="811">
        <f t="shared" si="55"/>
        <v>595736.52</v>
      </c>
      <c r="I261" s="812">
        <f t="shared" si="55"/>
        <v>969565.09</v>
      </c>
      <c r="J261" s="811">
        <f t="shared" si="55"/>
        <v>595736.52</v>
      </c>
      <c r="K261" s="811">
        <f t="shared" si="55"/>
        <v>595736.52</v>
      </c>
      <c r="L261" s="811">
        <f t="shared" si="55"/>
        <v>0</v>
      </c>
      <c r="M261" s="811"/>
      <c r="N261" s="811"/>
    </row>
    <row r="262" spans="1:16" x14ac:dyDescent="0.25">
      <c r="A262" s="814" t="s">
        <v>171</v>
      </c>
      <c r="B262" s="809"/>
      <c r="C262" s="810"/>
      <c r="D262" s="810"/>
      <c r="E262" s="810">
        <v>310</v>
      </c>
      <c r="F262" s="811"/>
      <c r="G262" s="811"/>
      <c r="H262" s="811"/>
      <c r="I262" s="812"/>
      <c r="J262" s="811"/>
      <c r="K262" s="811"/>
      <c r="L262" s="811"/>
      <c r="M262" s="811"/>
      <c r="N262" s="811"/>
    </row>
    <row r="263" spans="1:16" x14ac:dyDescent="0.25">
      <c r="A263" s="814" t="s">
        <v>172</v>
      </c>
      <c r="B263" s="809"/>
      <c r="C263" s="810"/>
      <c r="D263" s="810"/>
      <c r="E263" s="810">
        <v>340</v>
      </c>
      <c r="F263" s="811">
        <f t="shared" ref="F263:L263" si="56">F91</f>
        <v>400000</v>
      </c>
      <c r="G263" s="811">
        <f t="shared" si="56"/>
        <v>151362.34</v>
      </c>
      <c r="H263" s="811">
        <f t="shared" si="56"/>
        <v>151362.34</v>
      </c>
      <c r="I263" s="812">
        <f t="shared" si="56"/>
        <v>400000</v>
      </c>
      <c r="J263" s="811">
        <f t="shared" si="56"/>
        <v>151362.34</v>
      </c>
      <c r="K263" s="811">
        <f t="shared" si="56"/>
        <v>151362.34</v>
      </c>
      <c r="L263" s="811">
        <f t="shared" si="56"/>
        <v>0</v>
      </c>
      <c r="M263" s="811"/>
      <c r="N263" s="811"/>
    </row>
    <row r="264" spans="1:16" x14ac:dyDescent="0.25">
      <c r="A264" s="808" t="s">
        <v>333</v>
      </c>
      <c r="B264" s="809"/>
      <c r="C264" s="810"/>
      <c r="D264" s="810">
        <v>244</v>
      </c>
      <c r="E264" s="810"/>
      <c r="F264" s="811">
        <f>SUBTOTAL(9,F205,F206,F204,F203)</f>
        <v>0</v>
      </c>
      <c r="G264" s="811">
        <f t="shared" ref="G264:L264" si="57">SUBTOTAL(9,G205,G206,G204,G203)</f>
        <v>0</v>
      </c>
      <c r="H264" s="811">
        <f t="shared" si="57"/>
        <v>0</v>
      </c>
      <c r="I264" s="812">
        <f t="shared" si="57"/>
        <v>0</v>
      </c>
      <c r="J264" s="811">
        <f t="shared" si="57"/>
        <v>0</v>
      </c>
      <c r="K264" s="811">
        <f t="shared" si="57"/>
        <v>0</v>
      </c>
      <c r="L264" s="811">
        <f t="shared" si="57"/>
        <v>0</v>
      </c>
      <c r="M264" s="811"/>
      <c r="N264" s="811"/>
    </row>
    <row r="265" spans="1:16" x14ac:dyDescent="0.25">
      <c r="A265" s="814" t="s">
        <v>336</v>
      </c>
      <c r="B265" s="809"/>
      <c r="C265" s="810"/>
      <c r="D265" s="810"/>
      <c r="E265" s="810">
        <v>220</v>
      </c>
      <c r="F265" s="811">
        <f>F264-F266-F267</f>
        <v>0</v>
      </c>
      <c r="G265" s="811">
        <f t="shared" ref="G265:L265" si="58">G264-G266-G267</f>
        <v>0</v>
      </c>
      <c r="H265" s="811">
        <f t="shared" si="58"/>
        <v>0</v>
      </c>
      <c r="I265" s="812">
        <f t="shared" si="58"/>
        <v>0</v>
      </c>
      <c r="J265" s="811">
        <f t="shared" si="58"/>
        <v>0</v>
      </c>
      <c r="K265" s="811">
        <f t="shared" si="58"/>
        <v>0</v>
      </c>
      <c r="L265" s="811">
        <f t="shared" si="58"/>
        <v>0</v>
      </c>
      <c r="M265" s="811"/>
      <c r="N265" s="811"/>
    </row>
    <row r="266" spans="1:16" x14ac:dyDescent="0.25">
      <c r="A266" s="814" t="s">
        <v>171</v>
      </c>
      <c r="B266" s="809"/>
      <c r="C266" s="810"/>
      <c r="D266" s="810"/>
      <c r="E266" s="810">
        <v>310</v>
      </c>
      <c r="F266" s="811">
        <f t="shared" ref="F266:L266" si="59">F206</f>
        <v>0</v>
      </c>
      <c r="G266" s="811">
        <f t="shared" si="59"/>
        <v>0</v>
      </c>
      <c r="H266" s="811">
        <f t="shared" si="59"/>
        <v>0</v>
      </c>
      <c r="I266" s="812">
        <f t="shared" si="59"/>
        <v>0</v>
      </c>
      <c r="J266" s="811">
        <f t="shared" si="59"/>
        <v>0</v>
      </c>
      <c r="K266" s="811">
        <f t="shared" si="59"/>
        <v>0</v>
      </c>
      <c r="L266" s="811">
        <f t="shared" si="59"/>
        <v>0</v>
      </c>
      <c r="M266" s="811"/>
      <c r="N266" s="811"/>
    </row>
    <row r="267" spans="1:16" x14ac:dyDescent="0.25">
      <c r="A267" s="814" t="s">
        <v>172</v>
      </c>
      <c r="B267" s="809"/>
      <c r="C267" s="810"/>
      <c r="D267" s="810"/>
      <c r="E267" s="810">
        <v>340</v>
      </c>
      <c r="F267" s="811"/>
      <c r="G267" s="811"/>
      <c r="H267" s="811"/>
      <c r="I267" s="812"/>
      <c r="J267" s="811"/>
      <c r="K267" s="811"/>
      <c r="L267" s="811"/>
      <c r="M267" s="811"/>
      <c r="N267" s="811"/>
    </row>
    <row r="268" spans="1:16" x14ac:dyDescent="0.25">
      <c r="F268" s="816"/>
      <c r="G268" s="816"/>
      <c r="H268" s="816"/>
      <c r="I268" s="817"/>
      <c r="J268" s="816"/>
      <c r="K268" s="816"/>
      <c r="L268" s="816"/>
      <c r="M268" s="816"/>
      <c r="N268" s="816"/>
    </row>
    <row r="269" spans="1:16" x14ac:dyDescent="0.25">
      <c r="F269" s="816"/>
      <c r="G269" s="816"/>
      <c r="H269" s="816"/>
      <c r="I269" s="817"/>
      <c r="J269" s="816"/>
      <c r="K269" s="816"/>
      <c r="L269" s="816"/>
      <c r="M269" s="816"/>
      <c r="N269" s="816"/>
    </row>
    <row r="270" spans="1:16" x14ac:dyDescent="0.25">
      <c r="F270" s="816"/>
      <c r="G270" s="816"/>
      <c r="H270" s="816"/>
      <c r="I270" s="817"/>
      <c r="J270" s="816"/>
      <c r="K270" s="816"/>
      <c r="L270" s="816"/>
      <c r="M270" s="816"/>
      <c r="N270" s="816"/>
    </row>
    <row r="271" spans="1:16" x14ac:dyDescent="0.25">
      <c r="F271" s="816"/>
      <c r="G271" s="816"/>
      <c r="H271" s="816"/>
      <c r="I271" s="817"/>
      <c r="J271" s="816"/>
      <c r="K271" s="816"/>
      <c r="L271" s="816"/>
      <c r="M271" s="816"/>
      <c r="N271" s="816"/>
    </row>
    <row r="272" spans="1:16" x14ac:dyDescent="0.25">
      <c r="F272" s="816"/>
      <c r="G272" s="816"/>
      <c r="H272" s="816"/>
      <c r="I272" s="817"/>
      <c r="J272" s="816"/>
      <c r="K272" s="816"/>
      <c r="L272" s="816"/>
      <c r="M272" s="816"/>
      <c r="N272" s="816"/>
    </row>
    <row r="273" spans="6:14" x14ac:dyDescent="0.25">
      <c r="F273" s="816"/>
      <c r="G273" s="816"/>
      <c r="H273" s="816"/>
      <c r="I273" s="817"/>
      <c r="J273" s="816"/>
      <c r="K273" s="816"/>
      <c r="L273" s="816"/>
      <c r="M273" s="816"/>
      <c r="N273" s="816"/>
    </row>
    <row r="274" spans="6:14" x14ac:dyDescent="0.25">
      <c r="F274" s="816"/>
      <c r="G274" s="816"/>
      <c r="H274" s="816"/>
      <c r="I274" s="817"/>
      <c r="J274" s="816"/>
      <c r="K274" s="816"/>
      <c r="L274" s="816"/>
      <c r="M274" s="816"/>
      <c r="N274" s="816"/>
    </row>
    <row r="275" spans="6:14" x14ac:dyDescent="0.25">
      <c r="F275" s="816"/>
      <c r="G275" s="816"/>
      <c r="H275" s="816"/>
      <c r="I275" s="817"/>
      <c r="J275" s="816"/>
      <c r="K275" s="816"/>
      <c r="L275" s="816"/>
      <c r="M275" s="816"/>
      <c r="N275" s="816"/>
    </row>
    <row r="276" spans="6:14" x14ac:dyDescent="0.25">
      <c r="F276" s="816"/>
      <c r="G276" s="816"/>
      <c r="H276" s="816"/>
      <c r="I276" s="817"/>
      <c r="J276" s="816"/>
      <c r="K276" s="816"/>
      <c r="L276" s="816"/>
      <c r="M276" s="816"/>
      <c r="N276" s="816"/>
    </row>
    <row r="277" spans="6:14" x14ac:dyDescent="0.25">
      <c r="F277" s="816"/>
      <c r="G277" s="816"/>
      <c r="H277" s="816"/>
      <c r="I277" s="817"/>
      <c r="J277" s="816"/>
      <c r="K277" s="816"/>
      <c r="L277" s="816"/>
      <c r="M277" s="816"/>
      <c r="N277" s="816"/>
    </row>
    <row r="278" spans="6:14" x14ac:dyDescent="0.25">
      <c r="F278" s="816"/>
      <c r="G278" s="816"/>
      <c r="H278" s="816"/>
      <c r="I278" s="817"/>
      <c r="J278" s="816"/>
      <c r="K278" s="816"/>
      <c r="L278" s="816"/>
      <c r="M278" s="816"/>
      <c r="N278" s="816"/>
    </row>
    <row r="279" spans="6:14" x14ac:dyDescent="0.25">
      <c r="F279" s="816"/>
      <c r="G279" s="816"/>
      <c r="H279" s="816"/>
      <c r="I279" s="817"/>
      <c r="J279" s="816"/>
      <c r="K279" s="816"/>
      <c r="L279" s="816"/>
      <c r="M279" s="816"/>
      <c r="N279" s="816"/>
    </row>
    <row r="280" spans="6:14" x14ac:dyDescent="0.25">
      <c r="F280" s="816"/>
      <c r="G280" s="816"/>
      <c r="H280" s="816"/>
      <c r="I280" s="817"/>
      <c r="J280" s="816"/>
      <c r="K280" s="816"/>
      <c r="L280" s="816"/>
      <c r="M280" s="816"/>
      <c r="N280" s="816"/>
    </row>
    <row r="281" spans="6:14" x14ac:dyDescent="0.25">
      <c r="F281" s="816"/>
      <c r="G281" s="816"/>
      <c r="H281" s="816"/>
      <c r="I281" s="817"/>
      <c r="J281" s="816"/>
      <c r="K281" s="816"/>
      <c r="L281" s="816"/>
      <c r="M281" s="816"/>
      <c r="N281" s="816"/>
    </row>
    <row r="282" spans="6:14" x14ac:dyDescent="0.25">
      <c r="F282" s="816"/>
      <c r="G282" s="816"/>
      <c r="H282" s="816"/>
      <c r="I282" s="817"/>
      <c r="J282" s="816"/>
      <c r="K282" s="816"/>
      <c r="L282" s="816"/>
      <c r="M282" s="816"/>
      <c r="N282" s="816"/>
    </row>
    <row r="283" spans="6:14" x14ac:dyDescent="0.25">
      <c r="F283" s="816"/>
      <c r="G283" s="816"/>
      <c r="H283" s="816"/>
      <c r="I283" s="817"/>
      <c r="J283" s="816"/>
      <c r="K283" s="816"/>
      <c r="L283" s="816"/>
      <c r="M283" s="816"/>
      <c r="N283" s="816"/>
    </row>
    <row r="284" spans="6:14" x14ac:dyDescent="0.25">
      <c r="F284" s="816"/>
      <c r="G284" s="816"/>
      <c r="H284" s="816"/>
      <c r="I284" s="817"/>
      <c r="J284" s="816"/>
      <c r="K284" s="816"/>
      <c r="L284" s="816"/>
      <c r="M284" s="816"/>
      <c r="N284" s="816"/>
    </row>
    <row r="285" spans="6:14" x14ac:dyDescent="0.25">
      <c r="F285" s="816"/>
      <c r="G285" s="816"/>
      <c r="H285" s="816"/>
      <c r="I285" s="817"/>
      <c r="J285" s="816"/>
      <c r="K285" s="816"/>
      <c r="L285" s="816"/>
      <c r="M285" s="816"/>
      <c r="N285" s="816"/>
    </row>
    <row r="286" spans="6:14" x14ac:dyDescent="0.25">
      <c r="F286" s="816"/>
      <c r="G286" s="816"/>
      <c r="H286" s="816"/>
      <c r="I286" s="817"/>
      <c r="J286" s="816"/>
      <c r="K286" s="816"/>
      <c r="L286" s="816"/>
      <c r="M286" s="816"/>
      <c r="N286" s="816"/>
    </row>
    <row r="287" spans="6:14" x14ac:dyDescent="0.25">
      <c r="F287" s="816"/>
      <c r="G287" s="816"/>
      <c r="H287" s="816"/>
      <c r="I287" s="817"/>
      <c r="J287" s="816"/>
      <c r="K287" s="816"/>
      <c r="L287" s="816"/>
      <c r="M287" s="816"/>
      <c r="N287" s="816"/>
    </row>
    <row r="288" spans="6:14" x14ac:dyDescent="0.25">
      <c r="F288" s="816"/>
      <c r="G288" s="816"/>
      <c r="H288" s="816"/>
      <c r="I288" s="817"/>
      <c r="J288" s="816"/>
      <c r="K288" s="816"/>
      <c r="L288" s="816"/>
      <c r="M288" s="816"/>
      <c r="N288" s="816"/>
    </row>
    <row r="289" spans="6:14" x14ac:dyDescent="0.25">
      <c r="F289" s="816"/>
      <c r="G289" s="816"/>
      <c r="H289" s="816"/>
      <c r="I289" s="817"/>
      <c r="J289" s="816"/>
      <c r="K289" s="816"/>
      <c r="L289" s="816"/>
      <c r="M289" s="816"/>
      <c r="N289" s="816"/>
    </row>
    <row r="290" spans="6:14" x14ac:dyDescent="0.25">
      <c r="F290" s="816"/>
      <c r="G290" s="816"/>
      <c r="H290" s="816"/>
      <c r="I290" s="817"/>
      <c r="J290" s="816"/>
      <c r="K290" s="816"/>
      <c r="L290" s="816"/>
      <c r="M290" s="816"/>
      <c r="N290" s="816"/>
    </row>
    <row r="291" spans="6:14" x14ac:dyDescent="0.25">
      <c r="F291" s="816"/>
      <c r="G291" s="816"/>
      <c r="H291" s="816"/>
      <c r="I291" s="817"/>
      <c r="J291" s="816"/>
      <c r="K291" s="816"/>
      <c r="L291" s="816"/>
      <c r="M291" s="816"/>
      <c r="N291" s="816"/>
    </row>
    <row r="292" spans="6:14" x14ac:dyDescent="0.25">
      <c r="F292" s="816"/>
      <c r="G292" s="816"/>
      <c r="H292" s="816"/>
      <c r="I292" s="817"/>
      <c r="J292" s="816"/>
      <c r="K292" s="816"/>
      <c r="L292" s="816"/>
      <c r="M292" s="816"/>
      <c r="N292" s="816"/>
    </row>
    <row r="293" spans="6:14" x14ac:dyDescent="0.25">
      <c r="F293" s="816"/>
      <c r="G293" s="816"/>
      <c r="H293" s="816"/>
      <c r="I293" s="817"/>
      <c r="J293" s="816"/>
      <c r="K293" s="816"/>
      <c r="L293" s="816"/>
      <c r="M293" s="816"/>
      <c r="N293" s="816"/>
    </row>
    <row r="294" spans="6:14" x14ac:dyDescent="0.25">
      <c r="F294" s="816"/>
      <c r="G294" s="816"/>
      <c r="H294" s="816"/>
      <c r="I294" s="817"/>
      <c r="J294" s="816"/>
      <c r="K294" s="816"/>
      <c r="L294" s="816"/>
      <c r="M294" s="816"/>
      <c r="N294" s="816"/>
    </row>
    <row r="295" spans="6:14" x14ac:dyDescent="0.25">
      <c r="F295" s="816"/>
      <c r="G295" s="816"/>
      <c r="H295" s="816"/>
      <c r="I295" s="817"/>
      <c r="J295" s="816"/>
      <c r="K295" s="816"/>
      <c r="L295" s="816"/>
      <c r="M295" s="816"/>
      <c r="N295" s="816"/>
    </row>
    <row r="296" spans="6:14" x14ac:dyDescent="0.25">
      <c r="F296" s="816"/>
      <c r="G296" s="816"/>
      <c r="H296" s="816"/>
      <c r="I296" s="817"/>
      <c r="J296" s="816"/>
      <c r="K296" s="816"/>
      <c r="L296" s="816"/>
      <c r="M296" s="816"/>
      <c r="N296" s="816"/>
    </row>
    <row r="297" spans="6:14" x14ac:dyDescent="0.25">
      <c r="F297" s="816"/>
      <c r="G297" s="816"/>
      <c r="H297" s="816"/>
      <c r="I297" s="817"/>
      <c r="J297" s="816"/>
      <c r="K297" s="816"/>
      <c r="L297" s="816"/>
      <c r="M297" s="816"/>
      <c r="N297" s="816"/>
    </row>
    <row r="298" spans="6:14" x14ac:dyDescent="0.25">
      <c r="F298" s="816"/>
      <c r="G298" s="816"/>
      <c r="H298" s="816"/>
      <c r="I298" s="817"/>
      <c r="J298" s="816"/>
      <c r="K298" s="816"/>
      <c r="L298" s="816"/>
      <c r="M298" s="816"/>
      <c r="N298" s="816"/>
    </row>
    <row r="299" spans="6:14" x14ac:dyDescent="0.25">
      <c r="F299" s="816"/>
      <c r="G299" s="816"/>
      <c r="H299" s="816"/>
      <c r="I299" s="817"/>
      <c r="J299" s="816"/>
      <c r="K299" s="816"/>
      <c r="L299" s="816"/>
      <c r="M299" s="816"/>
      <c r="N299" s="816"/>
    </row>
    <row r="300" spans="6:14" x14ac:dyDescent="0.25">
      <c r="F300" s="816"/>
      <c r="G300" s="816"/>
      <c r="H300" s="816"/>
      <c r="I300" s="817"/>
      <c r="J300" s="816"/>
      <c r="K300" s="816"/>
      <c r="L300" s="816"/>
      <c r="M300" s="816"/>
      <c r="N300" s="816"/>
    </row>
    <row r="301" spans="6:14" x14ac:dyDescent="0.25">
      <c r="F301" s="816"/>
      <c r="G301" s="816"/>
      <c r="H301" s="816"/>
      <c r="I301" s="817"/>
      <c r="J301" s="816"/>
      <c r="K301" s="816"/>
      <c r="L301" s="816"/>
      <c r="M301" s="816"/>
      <c r="N301" s="816"/>
    </row>
    <row r="302" spans="6:14" x14ac:dyDescent="0.25">
      <c r="F302" s="816"/>
      <c r="G302" s="816"/>
      <c r="H302" s="816"/>
      <c r="I302" s="817"/>
      <c r="J302" s="816"/>
      <c r="K302" s="816"/>
      <c r="L302" s="816"/>
      <c r="M302" s="816"/>
      <c r="N302" s="816"/>
    </row>
    <row r="303" spans="6:14" x14ac:dyDescent="0.25">
      <c r="F303" s="816"/>
      <c r="G303" s="816"/>
      <c r="H303" s="816"/>
      <c r="I303" s="817"/>
      <c r="J303" s="816"/>
      <c r="K303" s="816"/>
      <c r="L303" s="816"/>
      <c r="M303" s="816"/>
      <c r="N303" s="816"/>
    </row>
    <row r="304" spans="6:14" x14ac:dyDescent="0.25">
      <c r="F304" s="816"/>
      <c r="G304" s="816"/>
      <c r="H304" s="816"/>
      <c r="I304" s="817"/>
      <c r="J304" s="816"/>
      <c r="K304" s="816"/>
      <c r="L304" s="816"/>
      <c r="M304" s="816"/>
      <c r="N304" s="816"/>
    </row>
  </sheetData>
  <mergeCells count="8">
    <mergeCell ref="I2:K2"/>
    <mergeCell ref="L2:N2"/>
    <mergeCell ref="A2:A4"/>
    <mergeCell ref="B2:B4"/>
    <mergeCell ref="C2:C4"/>
    <mergeCell ref="D2:D4"/>
    <mergeCell ref="E2:E4"/>
    <mergeCell ref="F2:H2"/>
  </mergeCells>
  <pageMargins left="0" right="0" top="0" bottom="0" header="0" footer="0"/>
  <pageSetup paperSize="9" scale="49" fitToHeight="0" orientation="landscape" r:id="rId1"/>
  <rowBreaks count="1" manualBreakCount="1">
    <brk id="106" max="1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4">
    <tabColor rgb="FF0000CC"/>
  </sheetPr>
  <dimension ref="A1:W1114"/>
  <sheetViews>
    <sheetView view="pageBreakPreview" zoomScale="80" zoomScaleNormal="80" zoomScaleSheetLayoutView="80" workbookViewId="0">
      <pane xSplit="4" ySplit="13" topLeftCell="E185" activePane="bottomRight" state="frozen"/>
      <selection activeCell="P66" sqref="P66"/>
      <selection pane="topRight" activeCell="P66" sqref="P66"/>
      <selection pane="bottomLeft" activeCell="P66" sqref="P66"/>
      <selection pane="bottomRight" activeCell="E251" sqref="E251"/>
    </sheetView>
  </sheetViews>
  <sheetFormatPr defaultColWidth="9.109375" defaultRowHeight="13.8" x14ac:dyDescent="0.25"/>
  <cols>
    <col min="1" max="1" width="46.6640625" style="49" customWidth="1"/>
    <col min="2" max="2" width="5.33203125" style="77" bestFit="1" customWidth="1"/>
    <col min="3" max="3" width="6.88671875" style="77" customWidth="1"/>
    <col min="4" max="4" width="18.88671875" style="77" customWidth="1"/>
    <col min="5" max="5" width="14.33203125" style="47" bestFit="1" customWidth="1"/>
    <col min="6" max="7" width="13.88671875" style="47" bestFit="1" customWidth="1"/>
    <col min="8" max="8" width="30.88671875" style="49" bestFit="1" customWidth="1"/>
    <col min="9" max="14" width="13.88671875" style="49" bestFit="1" customWidth="1"/>
    <col min="15" max="17" width="9.109375" style="49"/>
    <col min="18" max="18" width="14.33203125" style="47" bestFit="1" customWidth="1"/>
    <col min="19" max="19" width="13.88671875" style="47" bestFit="1" customWidth="1"/>
    <col min="20" max="20" width="13.109375" style="47" bestFit="1" customWidth="1"/>
    <col min="21" max="23" width="13.88671875" style="47" bestFit="1" customWidth="1"/>
    <col min="24" max="16384" width="9.109375" style="49"/>
  </cols>
  <sheetData>
    <row r="1" spans="1:23" s="50" customFormat="1" ht="14.4" thickBot="1" x14ac:dyDescent="0.3">
      <c r="A1" s="50" t="s">
        <v>337</v>
      </c>
      <c r="B1" s="106"/>
      <c r="C1" s="106"/>
      <c r="D1" s="106"/>
      <c r="E1" s="107">
        <f>E14+E47+E58+E69-E80+E25-E36+E13</f>
        <v>0</v>
      </c>
      <c r="F1" s="107">
        <f>F14+F47+F58+F69-F80+F25-F36</f>
        <v>0</v>
      </c>
      <c r="G1" s="107">
        <f>G14+G47+G58+G69-G80+G25-G36</f>
        <v>0</v>
      </c>
      <c r="H1" s="121" t="s">
        <v>338</v>
      </c>
      <c r="I1" s="122"/>
      <c r="R1" s="107"/>
      <c r="S1" s="107"/>
      <c r="T1" s="107"/>
      <c r="U1" s="107"/>
      <c r="V1" s="107"/>
      <c r="W1" s="107"/>
    </row>
    <row r="2" spans="1:23" s="109" customFormat="1" x14ac:dyDescent="0.25">
      <c r="A2" s="576" t="str">
        <f>A48</f>
        <v xml:space="preserve"> в том числе:
  аутсорсинг</v>
      </c>
      <c r="B2" s="110"/>
      <c r="C2" s="110"/>
      <c r="D2" s="110"/>
      <c r="E2" s="111">
        <f>E15+E26-E37+E48+E59+E70-E980</f>
        <v>0</v>
      </c>
      <c r="F2" s="111">
        <f>F15+F26-F37+F48+F59+F70-F980</f>
        <v>0</v>
      </c>
      <c r="G2" s="111">
        <f>G15+G26-G37+G48+G59+G70-G980</f>
        <v>0</v>
      </c>
      <c r="H2" s="577"/>
      <c r="I2" s="577"/>
      <c r="R2" s="111"/>
      <c r="S2" s="111"/>
      <c r="T2" s="111"/>
      <c r="U2" s="111"/>
      <c r="V2" s="111"/>
      <c r="W2" s="111"/>
    </row>
    <row r="3" spans="1:23" s="109" customFormat="1" x14ac:dyDescent="0.25">
      <c r="A3" s="576" t="str">
        <f>A49</f>
        <v xml:space="preserve">  платные услуги</v>
      </c>
      <c r="B3" s="110"/>
      <c r="C3" s="110"/>
      <c r="D3" s="110"/>
      <c r="E3" s="111">
        <f>E16+E27-E38+E49+E60+E71-E170</f>
        <v>0</v>
      </c>
      <c r="F3" s="111">
        <f>F16+F27-F38+F49+F60+F71-F170</f>
        <v>0</v>
      </c>
      <c r="G3" s="111">
        <f>G16+G27-G38+G49+G60+G71-G170</f>
        <v>0</v>
      </c>
      <c r="H3" s="577"/>
      <c r="I3" s="477"/>
      <c r="R3" s="111"/>
      <c r="S3" s="111"/>
      <c r="T3" s="111"/>
      <c r="U3" s="111"/>
      <c r="V3" s="111"/>
      <c r="W3" s="111"/>
    </row>
    <row r="4" spans="1:23" s="109" customFormat="1" x14ac:dyDescent="0.25">
      <c r="A4" s="576" t="str">
        <f>A50</f>
        <v xml:space="preserve">  доходы от аренды</v>
      </c>
      <c r="B4" s="110"/>
      <c r="C4" s="110"/>
      <c r="D4" s="110"/>
      <c r="E4" s="111">
        <f>E17+E28-E39+E50+E61+E72-E260</f>
        <v>0</v>
      </c>
      <c r="F4" s="111">
        <f>F17+F28-F39+F50+F61+F72-F260</f>
        <v>0</v>
      </c>
      <c r="G4" s="111">
        <f>G17+G28-G39+G50+G61+G72-G260</f>
        <v>0</v>
      </c>
      <c r="H4" s="577"/>
      <c r="I4" s="577"/>
      <c r="R4" s="111"/>
      <c r="S4" s="111"/>
      <c r="T4" s="111"/>
      <c r="U4" s="111"/>
      <c r="V4" s="111"/>
      <c r="W4" s="111"/>
    </row>
    <row r="5" spans="1:23" s="109" customFormat="1" x14ac:dyDescent="0.25">
      <c r="A5" s="576" t="str">
        <f>A51</f>
        <v xml:space="preserve">  питание сотрудников</v>
      </c>
      <c r="B5" s="110"/>
      <c r="C5" s="110"/>
      <c r="D5" s="110"/>
      <c r="E5" s="111">
        <f>E18+E29-E40+E51+E62+E73-E350</f>
        <v>0</v>
      </c>
      <c r="F5" s="111">
        <f>F18+F29-F40+F51+F62+F73-F350</f>
        <v>0</v>
      </c>
      <c r="G5" s="111">
        <f>G18+G29-G40+G51+G62+G73-G350</f>
        <v>0</v>
      </c>
      <c r="H5" s="577"/>
      <c r="I5" s="577"/>
      <c r="R5" s="111"/>
      <c r="S5" s="111"/>
      <c r="T5" s="111"/>
      <c r="U5" s="111"/>
      <c r="V5" s="111"/>
      <c r="W5" s="111"/>
    </row>
    <row r="6" spans="1:23" s="109" customFormat="1" x14ac:dyDescent="0.25">
      <c r="A6" s="576" t="str">
        <f>A53</f>
        <v xml:space="preserve">  возмещение коммунальных услуг</v>
      </c>
      <c r="B6" s="110"/>
      <c r="C6" s="110"/>
      <c r="D6" s="110"/>
      <c r="E6" s="111">
        <f>E20+E31-E42+E53+E64+E75-E440</f>
        <v>0</v>
      </c>
      <c r="F6" s="111">
        <f>F20+F31-F42+F53+F64+F75-F440</f>
        <v>0</v>
      </c>
      <c r="G6" s="111">
        <f>G20+G31-G42+G53+G64+G75-G440</f>
        <v>0</v>
      </c>
      <c r="H6" s="577"/>
      <c r="I6" s="577"/>
      <c r="R6" s="111"/>
      <c r="S6" s="111"/>
      <c r="T6" s="111"/>
      <c r="U6" s="111"/>
      <c r="V6" s="111"/>
      <c r="W6" s="111"/>
    </row>
    <row r="7" spans="1:23" s="109" customFormat="1" x14ac:dyDescent="0.25">
      <c r="A7" s="576" t="str">
        <f>A54</f>
        <v xml:space="preserve">  спонсорские средства</v>
      </c>
      <c r="B7" s="110"/>
      <c r="C7" s="110"/>
      <c r="D7" s="110"/>
      <c r="E7" s="111">
        <f>E21+E32-E43+E54+E65+E76-E530</f>
        <v>0</v>
      </c>
      <c r="F7" s="111">
        <f>F21+F32-F43+F54+F65+F76-F530</f>
        <v>0</v>
      </c>
      <c r="G7" s="111">
        <f>G21+G32-G43+G54+G65+G76-G530</f>
        <v>0</v>
      </c>
      <c r="H7" s="577"/>
      <c r="I7" s="577"/>
      <c r="R7" s="111"/>
      <c r="S7" s="111"/>
      <c r="T7" s="111"/>
      <c r="U7" s="111"/>
      <c r="V7" s="111"/>
      <c r="W7" s="111"/>
    </row>
    <row r="8" spans="1:23" s="109" customFormat="1" x14ac:dyDescent="0.25">
      <c r="A8" s="576" t="str">
        <f>A56</f>
        <v>прочие поступления, всего</v>
      </c>
      <c r="B8" s="110"/>
      <c r="C8" s="110"/>
      <c r="D8" s="110"/>
      <c r="E8" s="111">
        <f>E23+E34-E45+E56+E67+E78-E938+E13</f>
        <v>0</v>
      </c>
      <c r="F8" s="111">
        <f>F23+F34-F45+F56+F67+F78-F620</f>
        <v>0</v>
      </c>
      <c r="G8" s="111">
        <f>G23+G34-G45+G56+G67+G78-G620</f>
        <v>0</v>
      </c>
      <c r="H8" s="577"/>
      <c r="I8" s="577"/>
      <c r="R8" s="111"/>
      <c r="S8" s="111"/>
      <c r="T8" s="111"/>
      <c r="U8" s="111"/>
      <c r="V8" s="111"/>
      <c r="W8" s="111"/>
    </row>
    <row r="9" spans="1:23" x14ac:dyDescent="0.25">
      <c r="A9" s="45" t="s">
        <v>983</v>
      </c>
      <c r="B9" s="46"/>
      <c r="C9" s="46"/>
      <c r="D9" s="668" t="str">
        <f>Форма!B28</f>
        <v>на 2024 г. и плановый период 2025 и 2026 годов</v>
      </c>
      <c r="R9" s="931" t="s">
        <v>395</v>
      </c>
      <c r="S9" s="931"/>
      <c r="T9" s="931"/>
      <c r="U9" s="924" t="s">
        <v>909</v>
      </c>
      <c r="V9" s="924"/>
      <c r="W9" s="924"/>
    </row>
    <row r="10" spans="1:23" ht="15" customHeight="1" x14ac:dyDescent="0.25">
      <c r="A10" s="927" t="s">
        <v>1273</v>
      </c>
      <c r="B10" s="929" t="s">
        <v>234</v>
      </c>
      <c r="C10" s="929" t="s">
        <v>1</v>
      </c>
      <c r="D10" s="925" t="s">
        <v>366</v>
      </c>
      <c r="E10" s="921" t="s">
        <v>339</v>
      </c>
      <c r="F10" s="922"/>
      <c r="G10" s="923"/>
      <c r="R10" s="921" t="s">
        <v>339</v>
      </c>
      <c r="S10" s="922"/>
      <c r="T10" s="923"/>
      <c r="U10" s="921" t="s">
        <v>339</v>
      </c>
      <c r="V10" s="922"/>
      <c r="W10" s="923"/>
    </row>
    <row r="11" spans="1:23" s="50" customFormat="1" ht="57.6" customHeight="1" x14ac:dyDescent="0.25">
      <c r="A11" s="928"/>
      <c r="B11" s="930"/>
      <c r="C11" s="930"/>
      <c r="D11" s="926"/>
      <c r="E11" s="78">
        <f>Форма!R1</f>
        <v>2024</v>
      </c>
      <c r="F11" s="78">
        <f>E11+1</f>
        <v>2025</v>
      </c>
      <c r="G11" s="78">
        <f>F11+1</f>
        <v>2026</v>
      </c>
      <c r="R11" s="78">
        <f>E11</f>
        <v>2024</v>
      </c>
      <c r="S11" s="78">
        <f>R11+1</f>
        <v>2025</v>
      </c>
      <c r="T11" s="78">
        <f>S11+1</f>
        <v>2026</v>
      </c>
      <c r="U11" s="78">
        <f>E11</f>
        <v>2024</v>
      </c>
      <c r="V11" s="78">
        <f>U11+1</f>
        <v>2025</v>
      </c>
      <c r="W11" s="78">
        <f>V11+1</f>
        <v>2026</v>
      </c>
    </row>
    <row r="12" spans="1:23" s="50" customFormat="1" x14ac:dyDescent="0.25">
      <c r="A12" s="79">
        <v>1</v>
      </c>
      <c r="B12" s="80">
        <f>A12+1</f>
        <v>2</v>
      </c>
      <c r="C12" s="80">
        <f>B12+1</f>
        <v>3</v>
      </c>
      <c r="D12" s="80"/>
      <c r="E12" s="81">
        <f>C12+1</f>
        <v>4</v>
      </c>
      <c r="F12" s="81">
        <f>E12+1</f>
        <v>5</v>
      </c>
      <c r="G12" s="81">
        <f>F12+1</f>
        <v>6</v>
      </c>
      <c r="R12" s="81">
        <f>G12</f>
        <v>6</v>
      </c>
      <c r="S12" s="81">
        <f>R12+1</f>
        <v>7</v>
      </c>
      <c r="T12" s="81">
        <f>S12+1</f>
        <v>8</v>
      </c>
      <c r="U12" s="81">
        <f>T12+1</f>
        <v>9</v>
      </c>
      <c r="V12" s="81">
        <f>U12+1</f>
        <v>10</v>
      </c>
      <c r="W12" s="81">
        <f>V12+1</f>
        <v>11</v>
      </c>
    </row>
    <row r="13" spans="1:23" s="50" customFormat="1" x14ac:dyDescent="0.25">
      <c r="A13" s="143" t="s">
        <v>400</v>
      </c>
      <c r="B13" s="86"/>
      <c r="C13" s="86"/>
      <c r="D13" s="86"/>
      <c r="E13" s="581">
        <v>3951</v>
      </c>
      <c r="F13" s="581"/>
      <c r="G13" s="581"/>
      <c r="R13" s="580"/>
      <c r="S13" s="580"/>
      <c r="T13" s="580"/>
      <c r="U13" s="54">
        <f t="shared" ref="U13:U76" si="0">E13-R13</f>
        <v>3951</v>
      </c>
      <c r="V13" s="54">
        <f t="shared" ref="V13:V76" si="1">F13-S13</f>
        <v>0</v>
      </c>
      <c r="W13" s="54">
        <f t="shared" ref="W13:W76" si="2">G13-T13</f>
        <v>0</v>
      </c>
    </row>
    <row r="14" spans="1:23" s="50" customFormat="1" ht="27.6" x14ac:dyDescent="0.25">
      <c r="A14" s="82" t="s">
        <v>340</v>
      </c>
      <c r="B14" s="83" t="s">
        <v>37</v>
      </c>
      <c r="C14" s="83" t="s">
        <v>37</v>
      </c>
      <c r="D14" s="83" t="s">
        <v>37</v>
      </c>
      <c r="E14" s="84">
        <f>SUM(E15:E24)</f>
        <v>331348.77</v>
      </c>
      <c r="F14" s="84">
        <f>SUM(F15:F24)</f>
        <v>0</v>
      </c>
      <c r="G14" s="84">
        <f>SUM(G15:G24)</f>
        <v>0</v>
      </c>
      <c r="R14" s="84"/>
      <c r="S14" s="84"/>
      <c r="T14" s="84"/>
      <c r="U14" s="84">
        <f t="shared" si="0"/>
        <v>331348.77</v>
      </c>
      <c r="V14" s="84">
        <f t="shared" si="1"/>
        <v>0</v>
      </c>
      <c r="W14" s="84">
        <f t="shared" si="2"/>
        <v>0</v>
      </c>
    </row>
    <row r="15" spans="1:23" s="72" customFormat="1" ht="27.6" x14ac:dyDescent="0.25">
      <c r="A15" s="85" t="s">
        <v>341</v>
      </c>
      <c r="B15" s="86" t="s">
        <v>37</v>
      </c>
      <c r="C15" s="86" t="s">
        <v>37</v>
      </c>
      <c r="D15" s="86" t="s">
        <v>37</v>
      </c>
      <c r="E15" s="54"/>
      <c r="F15" s="54"/>
      <c r="G15" s="54"/>
      <c r="R15" s="54"/>
      <c r="S15" s="54"/>
      <c r="T15" s="54"/>
      <c r="U15" s="54">
        <f t="shared" si="0"/>
        <v>0</v>
      </c>
      <c r="V15" s="54">
        <f t="shared" si="1"/>
        <v>0</v>
      </c>
      <c r="W15" s="54">
        <f t="shared" si="2"/>
        <v>0</v>
      </c>
    </row>
    <row r="16" spans="1:23" s="72" customFormat="1" x14ac:dyDescent="0.25">
      <c r="A16" s="85" t="s">
        <v>342</v>
      </c>
      <c r="B16" s="86" t="s">
        <v>37</v>
      </c>
      <c r="C16" s="86" t="s">
        <v>37</v>
      </c>
      <c r="D16" s="86" t="s">
        <v>37</v>
      </c>
      <c r="E16" s="818">
        <f>154994.68-11796.2+15900</f>
        <v>159098.48000000001</v>
      </c>
      <c r="F16" s="54"/>
      <c r="G16" s="54"/>
      <c r="H16" s="72" t="s">
        <v>1181</v>
      </c>
      <c r="R16" s="54"/>
      <c r="S16" s="54"/>
      <c r="T16" s="54"/>
      <c r="U16" s="54">
        <f t="shared" si="0"/>
        <v>159098.48000000001</v>
      </c>
      <c r="V16" s="54">
        <f t="shared" si="1"/>
        <v>0</v>
      </c>
      <c r="W16" s="54">
        <f t="shared" si="2"/>
        <v>0</v>
      </c>
    </row>
    <row r="17" spans="1:23" s="72" customFormat="1" hidden="1" x14ac:dyDescent="0.25">
      <c r="A17" s="85" t="s">
        <v>343</v>
      </c>
      <c r="B17" s="86" t="s">
        <v>37</v>
      </c>
      <c r="C17" s="86" t="s">
        <v>37</v>
      </c>
      <c r="D17" s="86" t="s">
        <v>37</v>
      </c>
      <c r="E17" s="54"/>
      <c r="F17" s="54"/>
      <c r="G17" s="54"/>
      <c r="R17" s="54"/>
      <c r="S17" s="54"/>
      <c r="T17" s="54"/>
      <c r="U17" s="54">
        <f t="shared" si="0"/>
        <v>0</v>
      </c>
      <c r="V17" s="54">
        <f t="shared" si="1"/>
        <v>0</v>
      </c>
      <c r="W17" s="54">
        <f t="shared" si="2"/>
        <v>0</v>
      </c>
    </row>
    <row r="18" spans="1:23" s="72" customFormat="1" x14ac:dyDescent="0.25">
      <c r="A18" s="85" t="s">
        <v>1170</v>
      </c>
      <c r="B18" s="86" t="s">
        <v>37</v>
      </c>
      <c r="C18" s="86" t="s">
        <v>37</v>
      </c>
      <c r="D18" s="86" t="s">
        <v>37</v>
      </c>
      <c r="E18" s="818">
        <v>1003.27</v>
      </c>
      <c r="F18" s="54"/>
      <c r="G18" s="54"/>
      <c r="H18" s="72" t="s">
        <v>1179</v>
      </c>
      <c r="R18" s="54"/>
      <c r="S18" s="54"/>
      <c r="T18" s="54"/>
      <c r="U18" s="54">
        <f t="shared" si="0"/>
        <v>1003.27</v>
      </c>
      <c r="V18" s="54">
        <f t="shared" si="1"/>
        <v>0</v>
      </c>
      <c r="W18" s="54">
        <f t="shared" si="2"/>
        <v>0</v>
      </c>
    </row>
    <row r="19" spans="1:23" s="72" customFormat="1" x14ac:dyDescent="0.25">
      <c r="A19" s="85" t="s">
        <v>344</v>
      </c>
      <c r="B19" s="86" t="s">
        <v>37</v>
      </c>
      <c r="C19" s="86" t="s">
        <v>37</v>
      </c>
      <c r="D19" s="86" t="s">
        <v>37</v>
      </c>
      <c r="E19" s="818">
        <f>106210.01+0.16</f>
        <v>106210.17</v>
      </c>
      <c r="F19" s="54"/>
      <c r="G19" s="54"/>
      <c r="R19" s="54"/>
      <c r="S19" s="54"/>
      <c r="T19" s="54"/>
      <c r="U19" s="54">
        <f t="shared" si="0"/>
        <v>106210.17</v>
      </c>
      <c r="V19" s="54">
        <f t="shared" si="1"/>
        <v>0</v>
      </c>
      <c r="W19" s="54">
        <f t="shared" si="2"/>
        <v>0</v>
      </c>
    </row>
    <row r="20" spans="1:23" s="72" customFormat="1" hidden="1" x14ac:dyDescent="0.25">
      <c r="A20" s="85" t="s">
        <v>345</v>
      </c>
      <c r="B20" s="86" t="s">
        <v>37</v>
      </c>
      <c r="C20" s="86" t="s">
        <v>37</v>
      </c>
      <c r="D20" s="86" t="s">
        <v>37</v>
      </c>
      <c r="E20" s="54"/>
      <c r="F20" s="54"/>
      <c r="G20" s="54"/>
      <c r="R20" s="54"/>
      <c r="S20" s="54"/>
      <c r="T20" s="54"/>
      <c r="U20" s="54">
        <f t="shared" si="0"/>
        <v>0</v>
      </c>
      <c r="V20" s="54">
        <f t="shared" si="1"/>
        <v>0</v>
      </c>
      <c r="W20" s="54">
        <f t="shared" si="2"/>
        <v>0</v>
      </c>
    </row>
    <row r="21" spans="1:23" s="72" customFormat="1" hidden="1" x14ac:dyDescent="0.25">
      <c r="A21" s="85" t="s">
        <v>353</v>
      </c>
      <c r="B21" s="86" t="s">
        <v>37</v>
      </c>
      <c r="C21" s="86" t="s">
        <v>37</v>
      </c>
      <c r="D21" s="86" t="s">
        <v>37</v>
      </c>
      <c r="E21" s="54"/>
      <c r="F21" s="54"/>
      <c r="G21" s="54"/>
      <c r="R21" s="54"/>
      <c r="S21" s="54"/>
      <c r="T21" s="54"/>
      <c r="U21" s="54">
        <f t="shared" si="0"/>
        <v>0</v>
      </c>
      <c r="V21" s="54">
        <f t="shared" si="1"/>
        <v>0</v>
      </c>
      <c r="W21" s="54">
        <f t="shared" si="2"/>
        <v>0</v>
      </c>
    </row>
    <row r="22" spans="1:23" s="72" customFormat="1" x14ac:dyDescent="0.25">
      <c r="A22" s="85" t="s">
        <v>346</v>
      </c>
      <c r="B22" s="86" t="s">
        <v>37</v>
      </c>
      <c r="C22" s="86" t="s">
        <v>37</v>
      </c>
      <c r="D22" s="86" t="s">
        <v>37</v>
      </c>
      <c r="E22" s="818">
        <v>65036.85</v>
      </c>
      <c r="F22" s="54"/>
      <c r="G22" s="54"/>
      <c r="R22" s="54"/>
      <c r="S22" s="54"/>
      <c r="T22" s="54"/>
      <c r="U22" s="54">
        <f t="shared" si="0"/>
        <v>65036.85</v>
      </c>
      <c r="V22" s="54">
        <f t="shared" si="1"/>
        <v>0</v>
      </c>
      <c r="W22" s="54">
        <f t="shared" si="2"/>
        <v>0</v>
      </c>
    </row>
    <row r="23" spans="1:23" s="72" customFormat="1" hidden="1" x14ac:dyDescent="0.25">
      <c r="A23" s="85" t="s">
        <v>347</v>
      </c>
      <c r="B23" s="86" t="s">
        <v>37</v>
      </c>
      <c r="C23" s="86" t="s">
        <v>37</v>
      </c>
      <c r="D23" s="86" t="s">
        <v>37</v>
      </c>
      <c r="E23" s="54"/>
      <c r="F23" s="54"/>
      <c r="G23" s="54"/>
      <c r="R23" s="54"/>
      <c r="S23" s="54"/>
      <c r="T23" s="54"/>
      <c r="U23" s="54">
        <f t="shared" si="0"/>
        <v>0</v>
      </c>
      <c r="V23" s="54">
        <f t="shared" si="1"/>
        <v>0</v>
      </c>
      <c r="W23" s="54">
        <f t="shared" si="2"/>
        <v>0</v>
      </c>
    </row>
    <row r="24" spans="1:23" s="72" customFormat="1" ht="27.6" hidden="1" x14ac:dyDescent="0.25">
      <c r="A24" s="85" t="s">
        <v>348</v>
      </c>
      <c r="B24" s="86" t="s">
        <v>37</v>
      </c>
      <c r="C24" s="86" t="s">
        <v>37</v>
      </c>
      <c r="D24" s="86" t="s">
        <v>37</v>
      </c>
      <c r="E24" s="54"/>
      <c r="F24" s="54"/>
      <c r="G24" s="54"/>
      <c r="H24" s="72" t="s">
        <v>1180</v>
      </c>
      <c r="R24" s="54"/>
      <c r="S24" s="54"/>
      <c r="T24" s="54"/>
      <c r="U24" s="54">
        <f t="shared" si="0"/>
        <v>0</v>
      </c>
      <c r="V24" s="54">
        <f t="shared" si="1"/>
        <v>0</v>
      </c>
      <c r="W24" s="54">
        <f t="shared" si="2"/>
        <v>0</v>
      </c>
    </row>
    <row r="25" spans="1:23" s="50" customFormat="1" hidden="1" x14ac:dyDescent="0.25">
      <c r="A25" s="82" t="s">
        <v>774</v>
      </c>
      <c r="B25" s="572" t="s">
        <v>37</v>
      </c>
      <c r="C25" s="572" t="s">
        <v>37</v>
      </c>
      <c r="D25" s="572" t="s">
        <v>37</v>
      </c>
      <c r="E25" s="84">
        <f>SUM(E26:E35)</f>
        <v>0</v>
      </c>
      <c r="F25" s="84">
        <f>SUM(F26:F35)</f>
        <v>0</v>
      </c>
      <c r="G25" s="84">
        <f>SUM(G26:G35)</f>
        <v>0</v>
      </c>
      <c r="R25" s="84"/>
      <c r="S25" s="84"/>
      <c r="T25" s="84"/>
      <c r="U25" s="84">
        <f t="shared" si="0"/>
        <v>0</v>
      </c>
      <c r="V25" s="84">
        <f t="shared" si="1"/>
        <v>0</v>
      </c>
      <c r="W25" s="84">
        <f t="shared" si="2"/>
        <v>0</v>
      </c>
    </row>
    <row r="26" spans="1:23" s="72" customFormat="1" ht="27.6" hidden="1" x14ac:dyDescent="0.25">
      <c r="A26" s="85" t="s">
        <v>341</v>
      </c>
      <c r="B26" s="86" t="s">
        <v>37</v>
      </c>
      <c r="C26" s="86" t="s">
        <v>37</v>
      </c>
      <c r="D26" s="86" t="s">
        <v>37</v>
      </c>
      <c r="E26" s="54"/>
      <c r="F26" s="54"/>
      <c r="G26" s="54"/>
      <c r="R26" s="54"/>
      <c r="S26" s="54"/>
      <c r="T26" s="54"/>
      <c r="U26" s="54">
        <f t="shared" si="0"/>
        <v>0</v>
      </c>
      <c r="V26" s="54">
        <f t="shared" si="1"/>
        <v>0</v>
      </c>
      <c r="W26" s="54">
        <f t="shared" si="2"/>
        <v>0</v>
      </c>
    </row>
    <row r="27" spans="1:23" s="72" customFormat="1" hidden="1" x14ac:dyDescent="0.25">
      <c r="A27" s="85" t="s">
        <v>342</v>
      </c>
      <c r="B27" s="86" t="s">
        <v>37</v>
      </c>
      <c r="C27" s="86" t="s">
        <v>37</v>
      </c>
      <c r="D27" s="86" t="s">
        <v>37</v>
      </c>
      <c r="E27" s="54"/>
      <c r="F27" s="54"/>
      <c r="G27" s="54"/>
      <c r="H27" s="130"/>
      <c r="R27" s="54"/>
      <c r="S27" s="54"/>
      <c r="T27" s="54"/>
      <c r="U27" s="54">
        <f t="shared" si="0"/>
        <v>0</v>
      </c>
      <c r="V27" s="54">
        <f t="shared" si="1"/>
        <v>0</v>
      </c>
      <c r="W27" s="54">
        <f t="shared" si="2"/>
        <v>0</v>
      </c>
    </row>
    <row r="28" spans="1:23" s="72" customFormat="1" hidden="1" x14ac:dyDescent="0.25">
      <c r="A28" s="85" t="s">
        <v>343</v>
      </c>
      <c r="B28" s="86" t="s">
        <v>37</v>
      </c>
      <c r="C28" s="86" t="s">
        <v>37</v>
      </c>
      <c r="D28" s="86" t="s">
        <v>37</v>
      </c>
      <c r="E28" s="54"/>
      <c r="F28" s="54"/>
      <c r="G28" s="54"/>
      <c r="R28" s="54"/>
      <c r="S28" s="54"/>
      <c r="T28" s="54"/>
      <c r="U28" s="54">
        <f t="shared" si="0"/>
        <v>0</v>
      </c>
      <c r="V28" s="54">
        <f t="shared" si="1"/>
        <v>0</v>
      </c>
      <c r="W28" s="54">
        <f t="shared" si="2"/>
        <v>0</v>
      </c>
    </row>
    <row r="29" spans="1:23" s="72" customFormat="1" hidden="1" x14ac:dyDescent="0.25">
      <c r="A29" s="85" t="s">
        <v>796</v>
      </c>
      <c r="B29" s="86" t="s">
        <v>37</v>
      </c>
      <c r="C29" s="86" t="s">
        <v>37</v>
      </c>
      <c r="D29" s="86" t="s">
        <v>37</v>
      </c>
      <c r="E29" s="54"/>
      <c r="F29" s="54"/>
      <c r="G29" s="54"/>
      <c r="R29" s="54"/>
      <c r="S29" s="54"/>
      <c r="T29" s="54"/>
      <c r="U29" s="54">
        <f t="shared" si="0"/>
        <v>0</v>
      </c>
      <c r="V29" s="54">
        <f t="shared" si="1"/>
        <v>0</v>
      </c>
      <c r="W29" s="54">
        <f t="shared" si="2"/>
        <v>0</v>
      </c>
    </row>
    <row r="30" spans="1:23" s="72" customFormat="1" hidden="1" x14ac:dyDescent="0.25">
      <c r="A30" s="85" t="s">
        <v>344</v>
      </c>
      <c r="B30" s="86" t="s">
        <v>37</v>
      </c>
      <c r="C30" s="86" t="s">
        <v>37</v>
      </c>
      <c r="D30" s="86" t="s">
        <v>37</v>
      </c>
      <c r="E30" s="54"/>
      <c r="F30" s="54"/>
      <c r="G30" s="54"/>
      <c r="R30" s="54"/>
      <c r="S30" s="54"/>
      <c r="T30" s="54"/>
      <c r="U30" s="54">
        <f t="shared" si="0"/>
        <v>0</v>
      </c>
      <c r="V30" s="54">
        <f t="shared" si="1"/>
        <v>0</v>
      </c>
      <c r="W30" s="54">
        <f t="shared" si="2"/>
        <v>0</v>
      </c>
    </row>
    <row r="31" spans="1:23" s="72" customFormat="1" hidden="1" x14ac:dyDescent="0.25">
      <c r="A31" s="85" t="s">
        <v>345</v>
      </c>
      <c r="B31" s="86" t="s">
        <v>37</v>
      </c>
      <c r="C31" s="86" t="s">
        <v>37</v>
      </c>
      <c r="D31" s="86" t="s">
        <v>37</v>
      </c>
      <c r="E31" s="54"/>
      <c r="F31" s="54"/>
      <c r="G31" s="54"/>
      <c r="R31" s="54"/>
      <c r="S31" s="54"/>
      <c r="T31" s="54"/>
      <c r="U31" s="54">
        <f t="shared" si="0"/>
        <v>0</v>
      </c>
      <c r="V31" s="54">
        <f t="shared" si="1"/>
        <v>0</v>
      </c>
      <c r="W31" s="54">
        <f t="shared" si="2"/>
        <v>0</v>
      </c>
    </row>
    <row r="32" spans="1:23" s="72" customFormat="1" hidden="1" x14ac:dyDescent="0.25">
      <c r="A32" s="85" t="s">
        <v>353</v>
      </c>
      <c r="B32" s="86" t="s">
        <v>37</v>
      </c>
      <c r="C32" s="86" t="s">
        <v>37</v>
      </c>
      <c r="D32" s="86" t="s">
        <v>37</v>
      </c>
      <c r="E32" s="54"/>
      <c r="F32" s="54"/>
      <c r="G32" s="54"/>
      <c r="R32" s="54"/>
      <c r="S32" s="54"/>
      <c r="T32" s="54"/>
      <c r="U32" s="54">
        <f t="shared" si="0"/>
        <v>0</v>
      </c>
      <c r="V32" s="54">
        <f t="shared" si="1"/>
        <v>0</v>
      </c>
      <c r="W32" s="54">
        <f t="shared" si="2"/>
        <v>0</v>
      </c>
    </row>
    <row r="33" spans="1:23" s="72" customFormat="1" hidden="1" x14ac:dyDescent="0.25">
      <c r="A33" s="85" t="s">
        <v>346</v>
      </c>
      <c r="B33" s="86" t="s">
        <v>37</v>
      </c>
      <c r="C33" s="86" t="s">
        <v>37</v>
      </c>
      <c r="D33" s="86" t="s">
        <v>37</v>
      </c>
      <c r="E33" s="54"/>
      <c r="F33" s="54"/>
      <c r="G33" s="54"/>
      <c r="R33" s="54"/>
      <c r="S33" s="54"/>
      <c r="T33" s="54"/>
      <c r="U33" s="54">
        <f t="shared" si="0"/>
        <v>0</v>
      </c>
      <c r="V33" s="54">
        <f t="shared" si="1"/>
        <v>0</v>
      </c>
      <c r="W33" s="54">
        <f t="shared" si="2"/>
        <v>0</v>
      </c>
    </row>
    <row r="34" spans="1:23" s="72" customFormat="1" hidden="1" x14ac:dyDescent="0.25">
      <c r="A34" s="85" t="s">
        <v>347</v>
      </c>
      <c r="B34" s="86" t="s">
        <v>37</v>
      </c>
      <c r="C34" s="86" t="s">
        <v>37</v>
      </c>
      <c r="D34" s="86" t="s">
        <v>37</v>
      </c>
      <c r="E34" s="54"/>
      <c r="F34" s="54"/>
      <c r="G34" s="54"/>
      <c r="R34" s="54"/>
      <c r="S34" s="54"/>
      <c r="T34" s="54"/>
      <c r="U34" s="54">
        <f t="shared" si="0"/>
        <v>0</v>
      </c>
      <c r="V34" s="54">
        <f t="shared" si="1"/>
        <v>0</v>
      </c>
      <c r="W34" s="54">
        <f t="shared" si="2"/>
        <v>0</v>
      </c>
    </row>
    <row r="35" spans="1:23" s="72" customFormat="1" ht="27.6" hidden="1" x14ac:dyDescent="0.25">
      <c r="A35" s="85" t="s">
        <v>348</v>
      </c>
      <c r="B35" s="86" t="s">
        <v>37</v>
      </c>
      <c r="C35" s="86" t="s">
        <v>37</v>
      </c>
      <c r="D35" s="86" t="s">
        <v>37</v>
      </c>
      <c r="E35" s="54"/>
      <c r="F35" s="54"/>
      <c r="G35" s="54"/>
      <c r="R35" s="54"/>
      <c r="S35" s="54"/>
      <c r="T35" s="54"/>
      <c r="U35" s="54">
        <f t="shared" si="0"/>
        <v>0</v>
      </c>
      <c r="V35" s="54">
        <f t="shared" si="1"/>
        <v>0</v>
      </c>
      <c r="W35" s="54">
        <f t="shared" si="2"/>
        <v>0</v>
      </c>
    </row>
    <row r="36" spans="1:23" s="50" customFormat="1" hidden="1" x14ac:dyDescent="0.25">
      <c r="A36" s="82" t="s">
        <v>775</v>
      </c>
      <c r="B36" s="572" t="s">
        <v>37</v>
      </c>
      <c r="C36" s="572" t="s">
        <v>37</v>
      </c>
      <c r="D36" s="572" t="s">
        <v>37</v>
      </c>
      <c r="E36" s="84">
        <f>SUM(E37:E46)</f>
        <v>0</v>
      </c>
      <c r="F36" s="84">
        <f>SUM(F37:F46)</f>
        <v>0</v>
      </c>
      <c r="G36" s="84">
        <f>SUM(G37:G46)</f>
        <v>0</v>
      </c>
      <c r="R36" s="84"/>
      <c r="S36" s="84"/>
      <c r="T36" s="84"/>
      <c r="U36" s="84">
        <f t="shared" si="0"/>
        <v>0</v>
      </c>
      <c r="V36" s="84">
        <f t="shared" si="1"/>
        <v>0</v>
      </c>
      <c r="W36" s="84">
        <f t="shared" si="2"/>
        <v>0</v>
      </c>
    </row>
    <row r="37" spans="1:23" s="72" customFormat="1" ht="27.6" hidden="1" x14ac:dyDescent="0.25">
      <c r="A37" s="85" t="s">
        <v>341</v>
      </c>
      <c r="B37" s="86" t="s">
        <v>37</v>
      </c>
      <c r="C37" s="86" t="s">
        <v>37</v>
      </c>
      <c r="D37" s="86" t="s">
        <v>37</v>
      </c>
      <c r="E37" s="54"/>
      <c r="F37" s="54"/>
      <c r="G37" s="54"/>
      <c r="R37" s="54"/>
      <c r="S37" s="54"/>
      <c r="T37" s="54"/>
      <c r="U37" s="54">
        <f t="shared" si="0"/>
        <v>0</v>
      </c>
      <c r="V37" s="54">
        <f t="shared" si="1"/>
        <v>0</v>
      </c>
      <c r="W37" s="54">
        <f t="shared" si="2"/>
        <v>0</v>
      </c>
    </row>
    <row r="38" spans="1:23" s="72" customFormat="1" hidden="1" x14ac:dyDescent="0.25">
      <c r="A38" s="85" t="s">
        <v>342</v>
      </c>
      <c r="B38" s="86" t="s">
        <v>37</v>
      </c>
      <c r="C38" s="86" t="s">
        <v>37</v>
      </c>
      <c r="D38" s="86" t="s">
        <v>37</v>
      </c>
      <c r="E38" s="54"/>
      <c r="F38" s="54"/>
      <c r="G38" s="54"/>
      <c r="R38" s="54"/>
      <c r="S38" s="54"/>
      <c r="T38" s="54"/>
      <c r="U38" s="54">
        <f t="shared" si="0"/>
        <v>0</v>
      </c>
      <c r="V38" s="54">
        <f t="shared" si="1"/>
        <v>0</v>
      </c>
      <c r="W38" s="54">
        <f t="shared" si="2"/>
        <v>0</v>
      </c>
    </row>
    <row r="39" spans="1:23" s="72" customFormat="1" hidden="1" x14ac:dyDescent="0.25">
      <c r="A39" s="85" t="s">
        <v>343</v>
      </c>
      <c r="B39" s="86" t="s">
        <v>37</v>
      </c>
      <c r="C39" s="86" t="s">
        <v>37</v>
      </c>
      <c r="D39" s="86" t="s">
        <v>37</v>
      </c>
      <c r="E39" s="54"/>
      <c r="F39" s="54"/>
      <c r="G39" s="54"/>
      <c r="R39" s="54"/>
      <c r="S39" s="54"/>
      <c r="T39" s="54"/>
      <c r="U39" s="54">
        <f t="shared" si="0"/>
        <v>0</v>
      </c>
      <c r="V39" s="54">
        <f t="shared" si="1"/>
        <v>0</v>
      </c>
      <c r="W39" s="54">
        <f t="shared" si="2"/>
        <v>0</v>
      </c>
    </row>
    <row r="40" spans="1:23" s="72" customFormat="1" hidden="1" x14ac:dyDescent="0.25">
      <c r="A40" s="85" t="s">
        <v>796</v>
      </c>
      <c r="B40" s="86" t="s">
        <v>37</v>
      </c>
      <c r="C40" s="86" t="s">
        <v>37</v>
      </c>
      <c r="D40" s="86" t="s">
        <v>37</v>
      </c>
      <c r="E40" s="54"/>
      <c r="F40" s="54"/>
      <c r="G40" s="54"/>
      <c r="R40" s="54"/>
      <c r="S40" s="54"/>
      <c r="T40" s="54"/>
      <c r="U40" s="54">
        <f t="shared" si="0"/>
        <v>0</v>
      </c>
      <c r="V40" s="54">
        <f t="shared" si="1"/>
        <v>0</v>
      </c>
      <c r="W40" s="54">
        <f t="shared" si="2"/>
        <v>0</v>
      </c>
    </row>
    <row r="41" spans="1:23" s="72" customFormat="1" hidden="1" x14ac:dyDescent="0.25">
      <c r="A41" s="85" t="s">
        <v>344</v>
      </c>
      <c r="B41" s="86" t="s">
        <v>37</v>
      </c>
      <c r="C41" s="86" t="s">
        <v>37</v>
      </c>
      <c r="D41" s="86" t="s">
        <v>37</v>
      </c>
      <c r="E41" s="54"/>
      <c r="F41" s="54"/>
      <c r="G41" s="54"/>
      <c r="R41" s="54"/>
      <c r="S41" s="54"/>
      <c r="T41" s="54"/>
      <c r="U41" s="54">
        <f t="shared" si="0"/>
        <v>0</v>
      </c>
      <c r="V41" s="54">
        <f t="shared" si="1"/>
        <v>0</v>
      </c>
      <c r="W41" s="54">
        <f t="shared" si="2"/>
        <v>0</v>
      </c>
    </row>
    <row r="42" spans="1:23" s="72" customFormat="1" hidden="1" x14ac:dyDescent="0.25">
      <c r="A42" s="85" t="s">
        <v>345</v>
      </c>
      <c r="B42" s="86" t="s">
        <v>37</v>
      </c>
      <c r="C42" s="86" t="s">
        <v>37</v>
      </c>
      <c r="D42" s="86" t="s">
        <v>37</v>
      </c>
      <c r="E42" s="54"/>
      <c r="F42" s="54"/>
      <c r="G42" s="54"/>
      <c r="R42" s="54"/>
      <c r="S42" s="54"/>
      <c r="T42" s="54"/>
      <c r="U42" s="54">
        <f t="shared" si="0"/>
        <v>0</v>
      </c>
      <c r="V42" s="54">
        <f t="shared" si="1"/>
        <v>0</v>
      </c>
      <c r="W42" s="54">
        <f t="shared" si="2"/>
        <v>0</v>
      </c>
    </row>
    <row r="43" spans="1:23" s="72" customFormat="1" hidden="1" x14ac:dyDescent="0.25">
      <c r="A43" s="85" t="s">
        <v>353</v>
      </c>
      <c r="B43" s="86" t="s">
        <v>37</v>
      </c>
      <c r="C43" s="86" t="s">
        <v>37</v>
      </c>
      <c r="D43" s="86" t="s">
        <v>37</v>
      </c>
      <c r="E43" s="54"/>
      <c r="F43" s="54"/>
      <c r="G43" s="54"/>
      <c r="R43" s="54"/>
      <c r="S43" s="54"/>
      <c r="T43" s="54"/>
      <c r="U43" s="54">
        <f t="shared" si="0"/>
        <v>0</v>
      </c>
      <c r="V43" s="54">
        <f t="shared" si="1"/>
        <v>0</v>
      </c>
      <c r="W43" s="54">
        <f t="shared" si="2"/>
        <v>0</v>
      </c>
    </row>
    <row r="44" spans="1:23" s="72" customFormat="1" hidden="1" x14ac:dyDescent="0.25">
      <c r="A44" s="85" t="s">
        <v>346</v>
      </c>
      <c r="B44" s="86" t="s">
        <v>37</v>
      </c>
      <c r="C44" s="86" t="s">
        <v>37</v>
      </c>
      <c r="D44" s="86" t="s">
        <v>37</v>
      </c>
      <c r="E44" s="54"/>
      <c r="F44" s="54"/>
      <c r="G44" s="54"/>
      <c r="R44" s="54"/>
      <c r="S44" s="54"/>
      <c r="T44" s="54"/>
      <c r="U44" s="54">
        <f t="shared" si="0"/>
        <v>0</v>
      </c>
      <c r="V44" s="54">
        <f t="shared" si="1"/>
        <v>0</v>
      </c>
      <c r="W44" s="54">
        <f t="shared" si="2"/>
        <v>0</v>
      </c>
    </row>
    <row r="45" spans="1:23" s="72" customFormat="1" hidden="1" x14ac:dyDescent="0.25">
      <c r="A45" s="85" t="s">
        <v>347</v>
      </c>
      <c r="B45" s="86" t="s">
        <v>37</v>
      </c>
      <c r="C45" s="86" t="s">
        <v>37</v>
      </c>
      <c r="D45" s="86" t="s">
        <v>37</v>
      </c>
      <c r="E45" s="54"/>
      <c r="F45" s="54"/>
      <c r="G45" s="54"/>
      <c r="R45" s="54"/>
      <c r="S45" s="54"/>
      <c r="T45" s="54"/>
      <c r="U45" s="54">
        <f t="shared" si="0"/>
        <v>0</v>
      </c>
      <c r="V45" s="54">
        <f t="shared" si="1"/>
        <v>0</v>
      </c>
      <c r="W45" s="54">
        <f t="shared" si="2"/>
        <v>0</v>
      </c>
    </row>
    <row r="46" spans="1:23" s="72" customFormat="1" ht="27.6" hidden="1" x14ac:dyDescent="0.25">
      <c r="A46" s="85" t="s">
        <v>348</v>
      </c>
      <c r="B46" s="86" t="s">
        <v>37</v>
      </c>
      <c r="C46" s="86" t="s">
        <v>37</v>
      </c>
      <c r="D46" s="86" t="s">
        <v>37</v>
      </c>
      <c r="E46" s="54"/>
      <c r="F46" s="54"/>
      <c r="G46" s="54"/>
      <c r="R46" s="54"/>
      <c r="S46" s="54"/>
      <c r="T46" s="54"/>
      <c r="U46" s="54">
        <f t="shared" si="0"/>
        <v>0</v>
      </c>
      <c r="V46" s="54">
        <f t="shared" si="1"/>
        <v>0</v>
      </c>
      <c r="W46" s="54">
        <f t="shared" si="2"/>
        <v>0</v>
      </c>
    </row>
    <row r="47" spans="1:23" s="105" customFormat="1" x14ac:dyDescent="0.25">
      <c r="A47" s="375" t="s">
        <v>349</v>
      </c>
      <c r="B47" s="373" t="s">
        <v>37</v>
      </c>
      <c r="C47" s="373" t="s">
        <v>37</v>
      </c>
      <c r="D47" s="373" t="s">
        <v>37</v>
      </c>
      <c r="E47" s="84">
        <f>SUM(E48:E56)</f>
        <v>4532598</v>
      </c>
      <c r="F47" s="84">
        <f>SUM(F48:F57)</f>
        <v>4468798</v>
      </c>
      <c r="G47" s="84">
        <f>SUM(G48:G57)</f>
        <v>4468798</v>
      </c>
      <c r="I47" s="107"/>
      <c r="J47" s="107"/>
      <c r="K47" s="107"/>
      <c r="L47" s="107"/>
      <c r="R47" s="84"/>
      <c r="S47" s="84"/>
      <c r="T47" s="84"/>
      <c r="U47" s="84">
        <f t="shared" si="0"/>
        <v>4532598</v>
      </c>
      <c r="V47" s="84">
        <f t="shared" si="1"/>
        <v>4468798</v>
      </c>
      <c r="W47" s="84">
        <f t="shared" si="2"/>
        <v>4468798</v>
      </c>
    </row>
    <row r="48" spans="1:23" s="73" customFormat="1" ht="27.6" x14ac:dyDescent="0.25">
      <c r="A48" s="376" t="s">
        <v>341</v>
      </c>
      <c r="B48" s="86" t="s">
        <v>37</v>
      </c>
      <c r="C48" s="86">
        <v>131</v>
      </c>
      <c r="D48" s="86" t="s">
        <v>37</v>
      </c>
      <c r="E48" s="54"/>
      <c r="F48" s="54"/>
      <c r="G48" s="54"/>
      <c r="H48" s="75"/>
      <c r="I48" s="75"/>
      <c r="J48" s="75"/>
      <c r="K48" s="75"/>
      <c r="L48" s="75"/>
      <c r="R48" s="54"/>
      <c r="S48" s="54"/>
      <c r="T48" s="54"/>
      <c r="U48" s="54">
        <f t="shared" si="0"/>
        <v>0</v>
      </c>
      <c r="V48" s="54">
        <f t="shared" si="1"/>
        <v>0</v>
      </c>
      <c r="W48" s="54">
        <f t="shared" si="2"/>
        <v>0</v>
      </c>
    </row>
    <row r="49" spans="1:23" s="73" customFormat="1" x14ac:dyDescent="0.25">
      <c r="A49" s="376" t="s">
        <v>342</v>
      </c>
      <c r="B49" s="86" t="s">
        <v>37</v>
      </c>
      <c r="C49" s="86">
        <v>131</v>
      </c>
      <c r="D49" s="86" t="s">
        <v>37</v>
      </c>
      <c r="E49" s="830">
        <f>677200+63800</f>
        <v>741000</v>
      </c>
      <c r="F49" s="818">
        <v>677200</v>
      </c>
      <c r="G49" s="818">
        <v>677200</v>
      </c>
      <c r="H49" s="75"/>
      <c r="R49" s="54"/>
      <c r="S49" s="54"/>
      <c r="T49" s="54"/>
      <c r="U49" s="54">
        <f t="shared" si="0"/>
        <v>741000</v>
      </c>
      <c r="V49" s="54">
        <f t="shared" si="1"/>
        <v>677200</v>
      </c>
      <c r="W49" s="54">
        <f t="shared" si="2"/>
        <v>677200</v>
      </c>
    </row>
    <row r="50" spans="1:23" s="73" customFormat="1" x14ac:dyDescent="0.25">
      <c r="A50" s="376" t="s">
        <v>343</v>
      </c>
      <c r="B50" s="86" t="s">
        <v>37</v>
      </c>
      <c r="C50" s="86">
        <v>121</v>
      </c>
      <c r="D50" s="86" t="s">
        <v>37</v>
      </c>
      <c r="E50" s="54"/>
      <c r="F50" s="54"/>
      <c r="G50" s="54"/>
      <c r="R50" s="54"/>
      <c r="S50" s="54"/>
      <c r="T50" s="54"/>
      <c r="U50" s="54">
        <f t="shared" si="0"/>
        <v>0</v>
      </c>
      <c r="V50" s="54">
        <f t="shared" si="1"/>
        <v>0</v>
      </c>
      <c r="W50" s="54">
        <f t="shared" si="2"/>
        <v>0</v>
      </c>
    </row>
    <row r="51" spans="1:23" s="72" customFormat="1" x14ac:dyDescent="0.25">
      <c r="A51" s="85" t="s">
        <v>1170</v>
      </c>
      <c r="B51" s="86" t="s">
        <v>37</v>
      </c>
      <c r="C51" s="86">
        <v>134</v>
      </c>
      <c r="D51" s="86" t="s">
        <v>37</v>
      </c>
      <c r="E51" s="818">
        <v>70000</v>
      </c>
      <c r="F51" s="818">
        <v>70000</v>
      </c>
      <c r="G51" s="818">
        <v>70000</v>
      </c>
      <c r="R51" s="54"/>
      <c r="S51" s="54"/>
      <c r="T51" s="54"/>
      <c r="U51" s="54">
        <f t="shared" si="0"/>
        <v>70000</v>
      </c>
      <c r="V51" s="54">
        <f t="shared" si="1"/>
        <v>70000</v>
      </c>
      <c r="W51" s="54">
        <f t="shared" si="2"/>
        <v>70000</v>
      </c>
    </row>
    <row r="52" spans="1:23" s="72" customFormat="1" x14ac:dyDescent="0.25">
      <c r="A52" s="85" t="s">
        <v>344</v>
      </c>
      <c r="B52" s="86" t="s">
        <v>37</v>
      </c>
      <c r="C52" s="86">
        <v>131</v>
      </c>
      <c r="D52" s="86" t="s">
        <v>37</v>
      </c>
      <c r="E52" s="818">
        <v>3321598</v>
      </c>
      <c r="F52" s="818">
        <v>3321598</v>
      </c>
      <c r="G52" s="818">
        <v>3321598</v>
      </c>
      <c r="R52" s="54"/>
      <c r="S52" s="54"/>
      <c r="T52" s="54"/>
      <c r="U52" s="54">
        <f t="shared" si="0"/>
        <v>3321598</v>
      </c>
      <c r="V52" s="54">
        <f t="shared" si="1"/>
        <v>3321598</v>
      </c>
      <c r="W52" s="54">
        <f t="shared" si="2"/>
        <v>3321598</v>
      </c>
    </row>
    <row r="53" spans="1:23" s="73" customFormat="1" x14ac:dyDescent="0.25">
      <c r="A53" s="376" t="s">
        <v>345</v>
      </c>
      <c r="B53" s="86" t="s">
        <v>37</v>
      </c>
      <c r="C53" s="86">
        <v>135</v>
      </c>
      <c r="D53" s="86" t="s">
        <v>37</v>
      </c>
      <c r="E53" s="54"/>
      <c r="F53" s="54"/>
      <c r="G53" s="54"/>
      <c r="R53" s="54"/>
      <c r="S53" s="54"/>
      <c r="T53" s="54"/>
      <c r="U53" s="54">
        <f t="shared" si="0"/>
        <v>0</v>
      </c>
      <c r="V53" s="54">
        <f t="shared" si="1"/>
        <v>0</v>
      </c>
      <c r="W53" s="54">
        <f t="shared" si="2"/>
        <v>0</v>
      </c>
    </row>
    <row r="54" spans="1:23" s="72" customFormat="1" x14ac:dyDescent="0.25">
      <c r="A54" s="85" t="s">
        <v>353</v>
      </c>
      <c r="B54" s="86" t="s">
        <v>37</v>
      </c>
      <c r="C54" s="86">
        <v>155</v>
      </c>
      <c r="D54" s="86" t="s">
        <v>37</v>
      </c>
      <c r="E54" s="818"/>
      <c r="F54" s="818"/>
      <c r="G54" s="818"/>
      <c r="R54" s="54"/>
      <c r="S54" s="54"/>
      <c r="T54" s="54"/>
      <c r="U54" s="54">
        <f t="shared" si="0"/>
        <v>0</v>
      </c>
      <c r="V54" s="54">
        <f t="shared" si="1"/>
        <v>0</v>
      </c>
      <c r="W54" s="54">
        <f t="shared" si="2"/>
        <v>0</v>
      </c>
    </row>
    <row r="55" spans="1:23" s="72" customFormat="1" ht="13.5" customHeight="1" x14ac:dyDescent="0.25">
      <c r="A55" s="85" t="s">
        <v>346</v>
      </c>
      <c r="B55" s="86" t="s">
        <v>37</v>
      </c>
      <c r="C55" s="86">
        <v>155</v>
      </c>
      <c r="D55" s="86" t="s">
        <v>37</v>
      </c>
      <c r="E55" s="818">
        <v>400000</v>
      </c>
      <c r="F55" s="818">
        <v>400000</v>
      </c>
      <c r="G55" s="818">
        <v>400000</v>
      </c>
      <c r="R55" s="54"/>
      <c r="S55" s="54"/>
      <c r="T55" s="54"/>
      <c r="U55" s="54">
        <f t="shared" si="0"/>
        <v>400000</v>
      </c>
      <c r="V55" s="54">
        <f t="shared" si="1"/>
        <v>400000</v>
      </c>
      <c r="W55" s="54">
        <f t="shared" si="2"/>
        <v>400000</v>
      </c>
    </row>
    <row r="56" spans="1:23" s="73" customFormat="1" x14ac:dyDescent="0.25">
      <c r="A56" s="376" t="s">
        <v>1281</v>
      </c>
      <c r="B56" s="86" t="s">
        <v>37</v>
      </c>
      <c r="C56" s="87" t="s">
        <v>37</v>
      </c>
      <c r="D56" s="87" t="s">
        <v>37</v>
      </c>
      <c r="E56" s="836">
        <f>E57</f>
        <v>0</v>
      </c>
      <c r="F56" s="54"/>
      <c r="G56" s="54"/>
      <c r="R56" s="54"/>
      <c r="S56" s="54"/>
      <c r="T56" s="54"/>
      <c r="U56" s="54">
        <f t="shared" si="0"/>
        <v>0</v>
      </c>
      <c r="V56" s="54">
        <f t="shared" si="1"/>
        <v>0</v>
      </c>
      <c r="W56" s="54">
        <f t="shared" si="2"/>
        <v>0</v>
      </c>
    </row>
    <row r="57" spans="1:23" s="72" customFormat="1" ht="55.2" x14ac:dyDescent="0.25">
      <c r="A57" s="85" t="s">
        <v>1282</v>
      </c>
      <c r="B57" s="86" t="s">
        <v>37</v>
      </c>
      <c r="C57" s="87">
        <v>510</v>
      </c>
      <c r="D57" s="835" t="s">
        <v>37</v>
      </c>
      <c r="E57" s="835">
        <v>0</v>
      </c>
      <c r="F57" s="835"/>
      <c r="G57" s="54"/>
      <c r="R57" s="54"/>
      <c r="S57" s="54"/>
      <c r="T57" s="54"/>
      <c r="U57" s="54">
        <f t="shared" si="0"/>
        <v>0</v>
      </c>
      <c r="V57" s="54">
        <f t="shared" si="1"/>
        <v>0</v>
      </c>
      <c r="W57" s="54">
        <f t="shared" si="2"/>
        <v>0</v>
      </c>
    </row>
    <row r="58" spans="1:23" s="105" customFormat="1" hidden="1" x14ac:dyDescent="0.25">
      <c r="A58" s="375" t="s">
        <v>350</v>
      </c>
      <c r="B58" s="373" t="s">
        <v>37</v>
      </c>
      <c r="C58" s="373" t="s">
        <v>37</v>
      </c>
      <c r="D58" s="373" t="s">
        <v>37</v>
      </c>
      <c r="E58" s="84">
        <f>SUM(E59:E68)</f>
        <v>0</v>
      </c>
      <c r="F58" s="84">
        <f>SUM(F59:F68)</f>
        <v>0</v>
      </c>
      <c r="G58" s="84">
        <f>SUM(G59:G68)</f>
        <v>0</v>
      </c>
      <c r="H58" s="105" t="s">
        <v>178</v>
      </c>
      <c r="I58" s="107"/>
      <c r="J58" s="107"/>
      <c r="K58" s="107"/>
      <c r="R58" s="84"/>
      <c r="S58" s="84"/>
      <c r="T58" s="84"/>
      <c r="U58" s="84">
        <f t="shared" si="0"/>
        <v>0</v>
      </c>
      <c r="V58" s="84">
        <f t="shared" si="1"/>
        <v>0</v>
      </c>
      <c r="W58" s="84">
        <f t="shared" si="2"/>
        <v>0</v>
      </c>
    </row>
    <row r="59" spans="1:23" s="72" customFormat="1" ht="27.6" hidden="1" x14ac:dyDescent="0.25">
      <c r="A59" s="85" t="s">
        <v>341</v>
      </c>
      <c r="B59" s="86" t="s">
        <v>37</v>
      </c>
      <c r="C59" s="86"/>
      <c r="D59" s="86" t="s">
        <v>37</v>
      </c>
      <c r="E59" s="54"/>
      <c r="F59" s="54"/>
      <c r="G59" s="54"/>
      <c r="R59" s="54"/>
      <c r="S59" s="54"/>
      <c r="T59" s="54"/>
      <c r="U59" s="54">
        <f t="shared" si="0"/>
        <v>0</v>
      </c>
      <c r="V59" s="54">
        <f t="shared" si="1"/>
        <v>0</v>
      </c>
      <c r="W59" s="54">
        <f t="shared" si="2"/>
        <v>0</v>
      </c>
    </row>
    <row r="60" spans="1:23" s="73" customFormat="1" hidden="1" x14ac:dyDescent="0.25">
      <c r="A60" s="376" t="s">
        <v>342</v>
      </c>
      <c r="B60" s="86" t="s">
        <v>37</v>
      </c>
      <c r="C60" s="86"/>
      <c r="D60" s="86" t="s">
        <v>37</v>
      </c>
      <c r="E60" s="54"/>
      <c r="F60" s="54"/>
      <c r="G60" s="54"/>
      <c r="R60" s="54"/>
      <c r="S60" s="54"/>
      <c r="T60" s="54"/>
      <c r="U60" s="54">
        <f t="shared" si="0"/>
        <v>0</v>
      </c>
      <c r="V60" s="54">
        <f t="shared" si="1"/>
        <v>0</v>
      </c>
      <c r="W60" s="54">
        <f t="shared" si="2"/>
        <v>0</v>
      </c>
    </row>
    <row r="61" spans="1:23" s="72" customFormat="1" hidden="1" x14ac:dyDescent="0.25">
      <c r="A61" s="85" t="s">
        <v>343</v>
      </c>
      <c r="B61" s="86" t="s">
        <v>37</v>
      </c>
      <c r="C61" s="86"/>
      <c r="D61" s="86" t="s">
        <v>37</v>
      </c>
      <c r="E61" s="54"/>
      <c r="F61" s="54"/>
      <c r="G61" s="54"/>
      <c r="R61" s="54"/>
      <c r="S61" s="54"/>
      <c r="T61" s="54"/>
      <c r="U61" s="54">
        <f t="shared" si="0"/>
        <v>0</v>
      </c>
      <c r="V61" s="54">
        <f t="shared" si="1"/>
        <v>0</v>
      </c>
      <c r="W61" s="54">
        <f t="shared" si="2"/>
        <v>0</v>
      </c>
    </row>
    <row r="62" spans="1:23" s="72" customFormat="1" hidden="1" x14ac:dyDescent="0.25">
      <c r="A62" s="85" t="s">
        <v>796</v>
      </c>
      <c r="B62" s="86" t="s">
        <v>37</v>
      </c>
      <c r="C62" s="86"/>
      <c r="D62" s="86" t="s">
        <v>37</v>
      </c>
      <c r="E62" s="54"/>
      <c r="F62" s="54"/>
      <c r="G62" s="54"/>
      <c r="R62" s="54"/>
      <c r="S62" s="54"/>
      <c r="T62" s="54"/>
      <c r="U62" s="54">
        <f t="shared" si="0"/>
        <v>0</v>
      </c>
      <c r="V62" s="54">
        <f t="shared" si="1"/>
        <v>0</v>
      </c>
      <c r="W62" s="54">
        <f t="shared" si="2"/>
        <v>0</v>
      </c>
    </row>
    <row r="63" spans="1:23" s="72" customFormat="1" hidden="1" x14ac:dyDescent="0.25">
      <c r="A63" s="85" t="s">
        <v>344</v>
      </c>
      <c r="B63" s="86" t="s">
        <v>37</v>
      </c>
      <c r="C63" s="86"/>
      <c r="D63" s="86" t="s">
        <v>37</v>
      </c>
      <c r="E63" s="54"/>
      <c r="F63" s="54"/>
      <c r="G63" s="54"/>
      <c r="R63" s="54"/>
      <c r="S63" s="54"/>
      <c r="T63" s="54"/>
      <c r="U63" s="54">
        <f t="shared" si="0"/>
        <v>0</v>
      </c>
      <c r="V63" s="54">
        <f t="shared" si="1"/>
        <v>0</v>
      </c>
      <c r="W63" s="54">
        <f t="shared" si="2"/>
        <v>0</v>
      </c>
    </row>
    <row r="64" spans="1:23" s="72" customFormat="1" hidden="1" x14ac:dyDescent="0.25">
      <c r="A64" s="85" t="s">
        <v>345</v>
      </c>
      <c r="B64" s="86" t="s">
        <v>37</v>
      </c>
      <c r="C64" s="86"/>
      <c r="D64" s="86" t="s">
        <v>37</v>
      </c>
      <c r="E64" s="54"/>
      <c r="F64" s="54"/>
      <c r="G64" s="54"/>
      <c r="R64" s="54"/>
      <c r="S64" s="54"/>
      <c r="T64" s="54"/>
      <c r="U64" s="54">
        <f t="shared" si="0"/>
        <v>0</v>
      </c>
      <c r="V64" s="54">
        <f t="shared" si="1"/>
        <v>0</v>
      </c>
      <c r="W64" s="54">
        <f t="shared" si="2"/>
        <v>0</v>
      </c>
    </row>
    <row r="65" spans="1:23" s="72" customFormat="1" hidden="1" x14ac:dyDescent="0.25">
      <c r="A65" s="85" t="s">
        <v>353</v>
      </c>
      <c r="B65" s="86" t="s">
        <v>37</v>
      </c>
      <c r="C65" s="86"/>
      <c r="D65" s="86" t="s">
        <v>37</v>
      </c>
      <c r="E65" s="54"/>
      <c r="F65" s="54"/>
      <c r="G65" s="54"/>
      <c r="R65" s="54"/>
      <c r="S65" s="54"/>
      <c r="T65" s="54"/>
      <c r="U65" s="54">
        <f t="shared" si="0"/>
        <v>0</v>
      </c>
      <c r="V65" s="54">
        <f t="shared" si="1"/>
        <v>0</v>
      </c>
      <c r="W65" s="54">
        <f t="shared" si="2"/>
        <v>0</v>
      </c>
    </row>
    <row r="66" spans="1:23" s="72" customFormat="1" ht="13.5" hidden="1" customHeight="1" x14ac:dyDescent="0.25">
      <c r="A66" s="85" t="s">
        <v>346</v>
      </c>
      <c r="B66" s="86" t="s">
        <v>37</v>
      </c>
      <c r="C66" s="86"/>
      <c r="D66" s="86" t="s">
        <v>37</v>
      </c>
      <c r="E66" s="54"/>
      <c r="F66" s="54"/>
      <c r="G66" s="54"/>
      <c r="R66" s="54"/>
      <c r="S66" s="54"/>
      <c r="T66" s="54"/>
      <c r="U66" s="54">
        <f t="shared" si="0"/>
        <v>0</v>
      </c>
      <c r="V66" s="54">
        <f t="shared" si="1"/>
        <v>0</v>
      </c>
      <c r="W66" s="54">
        <f t="shared" si="2"/>
        <v>0</v>
      </c>
    </row>
    <row r="67" spans="1:23" s="72" customFormat="1" hidden="1" x14ac:dyDescent="0.25">
      <c r="A67" s="85" t="s">
        <v>347</v>
      </c>
      <c r="B67" s="86" t="s">
        <v>37</v>
      </c>
      <c r="C67" s="86"/>
      <c r="D67" s="86" t="s">
        <v>37</v>
      </c>
      <c r="E67" s="54"/>
      <c r="F67" s="54"/>
      <c r="G67" s="54"/>
      <c r="R67" s="54"/>
      <c r="S67" s="54"/>
      <c r="T67" s="54"/>
      <c r="U67" s="54">
        <f t="shared" si="0"/>
        <v>0</v>
      </c>
      <c r="V67" s="54">
        <f t="shared" si="1"/>
        <v>0</v>
      </c>
      <c r="W67" s="54">
        <f t="shared" si="2"/>
        <v>0</v>
      </c>
    </row>
    <row r="68" spans="1:23" s="72" customFormat="1" ht="27.6" hidden="1" x14ac:dyDescent="0.25">
      <c r="A68" s="85" t="s">
        <v>348</v>
      </c>
      <c r="B68" s="86" t="s">
        <v>37</v>
      </c>
      <c r="C68" s="86"/>
      <c r="D68" s="86" t="s">
        <v>37</v>
      </c>
      <c r="E68" s="54"/>
      <c r="F68" s="54"/>
      <c r="G68" s="54"/>
      <c r="R68" s="54"/>
      <c r="S68" s="54"/>
      <c r="T68" s="54"/>
      <c r="U68" s="54">
        <f t="shared" si="0"/>
        <v>0</v>
      </c>
      <c r="V68" s="54">
        <f t="shared" si="1"/>
        <v>0</v>
      </c>
      <c r="W68" s="54">
        <f t="shared" si="2"/>
        <v>0</v>
      </c>
    </row>
    <row r="69" spans="1:23" s="105" customFormat="1" hidden="1" x14ac:dyDescent="0.25">
      <c r="A69" s="375" t="s">
        <v>351</v>
      </c>
      <c r="B69" s="373" t="s">
        <v>37</v>
      </c>
      <c r="C69" s="373" t="s">
        <v>37</v>
      </c>
      <c r="D69" s="373" t="s">
        <v>37</v>
      </c>
      <c r="E69" s="84">
        <f>SUM(E70:E79)</f>
        <v>0</v>
      </c>
      <c r="F69" s="84">
        <f>SUM(F70:F79)</f>
        <v>0</v>
      </c>
      <c r="G69" s="84">
        <f>SUM(G70:G79)</f>
        <v>0</v>
      </c>
      <c r="H69" s="105" t="s">
        <v>178</v>
      </c>
      <c r="I69" s="107"/>
      <c r="J69" s="107"/>
      <c r="K69" s="107"/>
      <c r="L69" s="107"/>
      <c r="M69" s="107"/>
      <c r="N69" s="107"/>
      <c r="R69" s="84"/>
      <c r="S69" s="84"/>
      <c r="T69" s="84"/>
      <c r="U69" s="84">
        <f t="shared" si="0"/>
        <v>0</v>
      </c>
      <c r="V69" s="84">
        <f t="shared" si="1"/>
        <v>0</v>
      </c>
      <c r="W69" s="84">
        <f t="shared" si="2"/>
        <v>0</v>
      </c>
    </row>
    <row r="70" spans="1:23" s="73" customFormat="1" ht="27.6" hidden="1" x14ac:dyDescent="0.25">
      <c r="A70" s="376" t="s">
        <v>341</v>
      </c>
      <c r="B70" s="86" t="s">
        <v>37</v>
      </c>
      <c r="C70" s="86"/>
      <c r="D70" s="86" t="s">
        <v>37</v>
      </c>
      <c r="E70" s="54"/>
      <c r="F70" s="54"/>
      <c r="G70" s="54"/>
      <c r="R70" s="54"/>
      <c r="S70" s="54"/>
      <c r="T70" s="54"/>
      <c r="U70" s="54">
        <f t="shared" si="0"/>
        <v>0</v>
      </c>
      <c r="V70" s="54">
        <f t="shared" si="1"/>
        <v>0</v>
      </c>
      <c r="W70" s="54">
        <f t="shared" si="2"/>
        <v>0</v>
      </c>
    </row>
    <row r="71" spans="1:23" s="73" customFormat="1" hidden="1" x14ac:dyDescent="0.25">
      <c r="A71" s="376" t="s">
        <v>342</v>
      </c>
      <c r="B71" s="86" t="s">
        <v>37</v>
      </c>
      <c r="C71" s="86"/>
      <c r="D71" s="86" t="s">
        <v>37</v>
      </c>
      <c r="E71" s="54"/>
      <c r="F71" s="54"/>
      <c r="G71" s="54"/>
      <c r="R71" s="54"/>
      <c r="S71" s="54"/>
      <c r="T71" s="54"/>
      <c r="U71" s="54">
        <f t="shared" si="0"/>
        <v>0</v>
      </c>
      <c r="V71" s="54">
        <f t="shared" si="1"/>
        <v>0</v>
      </c>
      <c r="W71" s="54">
        <f t="shared" si="2"/>
        <v>0</v>
      </c>
    </row>
    <row r="72" spans="1:23" s="73" customFormat="1" hidden="1" x14ac:dyDescent="0.25">
      <c r="A72" s="376" t="s">
        <v>343</v>
      </c>
      <c r="B72" s="86" t="s">
        <v>37</v>
      </c>
      <c r="C72" s="86"/>
      <c r="D72" s="86" t="s">
        <v>37</v>
      </c>
      <c r="E72" s="54"/>
      <c r="F72" s="54"/>
      <c r="G72" s="54"/>
      <c r="R72" s="54"/>
      <c r="S72" s="54"/>
      <c r="T72" s="54"/>
      <c r="U72" s="54">
        <f t="shared" si="0"/>
        <v>0</v>
      </c>
      <c r="V72" s="54">
        <f t="shared" si="1"/>
        <v>0</v>
      </c>
      <c r="W72" s="54">
        <f t="shared" si="2"/>
        <v>0</v>
      </c>
    </row>
    <row r="73" spans="1:23" s="72" customFormat="1" hidden="1" x14ac:dyDescent="0.25">
      <c r="A73" s="85" t="s">
        <v>796</v>
      </c>
      <c r="B73" s="86" t="s">
        <v>37</v>
      </c>
      <c r="C73" s="86"/>
      <c r="D73" s="86" t="s">
        <v>37</v>
      </c>
      <c r="E73" s="54"/>
      <c r="F73" s="54"/>
      <c r="G73" s="54"/>
      <c r="R73" s="54"/>
      <c r="S73" s="54"/>
      <c r="T73" s="54"/>
      <c r="U73" s="54">
        <f t="shared" si="0"/>
        <v>0</v>
      </c>
      <c r="V73" s="54">
        <f t="shared" si="1"/>
        <v>0</v>
      </c>
      <c r="W73" s="54">
        <f t="shared" si="2"/>
        <v>0</v>
      </c>
    </row>
    <row r="74" spans="1:23" s="72" customFormat="1" hidden="1" x14ac:dyDescent="0.25">
      <c r="A74" s="85" t="s">
        <v>344</v>
      </c>
      <c r="B74" s="86" t="s">
        <v>37</v>
      </c>
      <c r="C74" s="86"/>
      <c r="D74" s="86" t="s">
        <v>37</v>
      </c>
      <c r="E74" s="54"/>
      <c r="F74" s="54"/>
      <c r="G74" s="54"/>
      <c r="R74" s="54"/>
      <c r="S74" s="54"/>
      <c r="T74" s="54"/>
      <c r="U74" s="54">
        <f t="shared" si="0"/>
        <v>0</v>
      </c>
      <c r="V74" s="54">
        <f t="shared" si="1"/>
        <v>0</v>
      </c>
      <c r="W74" s="54">
        <f t="shared" si="2"/>
        <v>0</v>
      </c>
    </row>
    <row r="75" spans="1:23" s="72" customFormat="1" hidden="1" x14ac:dyDescent="0.25">
      <c r="A75" s="85" t="s">
        <v>345</v>
      </c>
      <c r="B75" s="86" t="s">
        <v>37</v>
      </c>
      <c r="C75" s="86"/>
      <c r="D75" s="86" t="s">
        <v>37</v>
      </c>
      <c r="E75" s="54"/>
      <c r="F75" s="54"/>
      <c r="G75" s="54"/>
      <c r="R75" s="54"/>
      <c r="S75" s="54"/>
      <c r="T75" s="54"/>
      <c r="U75" s="54">
        <f t="shared" si="0"/>
        <v>0</v>
      </c>
      <c r="V75" s="54">
        <f t="shared" si="1"/>
        <v>0</v>
      </c>
      <c r="W75" s="54">
        <f t="shared" si="2"/>
        <v>0</v>
      </c>
    </row>
    <row r="76" spans="1:23" s="72" customFormat="1" hidden="1" x14ac:dyDescent="0.25">
      <c r="A76" s="85" t="s">
        <v>353</v>
      </c>
      <c r="B76" s="86" t="s">
        <v>37</v>
      </c>
      <c r="C76" s="86"/>
      <c r="D76" s="86" t="s">
        <v>37</v>
      </c>
      <c r="E76" s="54"/>
      <c r="F76" s="54"/>
      <c r="G76" s="54"/>
      <c r="R76" s="54"/>
      <c r="S76" s="54"/>
      <c r="T76" s="54"/>
      <c r="U76" s="54">
        <f t="shared" si="0"/>
        <v>0</v>
      </c>
      <c r="V76" s="54">
        <f t="shared" si="1"/>
        <v>0</v>
      </c>
      <c r="W76" s="54">
        <f t="shared" si="2"/>
        <v>0</v>
      </c>
    </row>
    <row r="77" spans="1:23" s="72" customFormat="1" hidden="1" x14ac:dyDescent="0.25">
      <c r="A77" s="85" t="s">
        <v>346</v>
      </c>
      <c r="B77" s="86" t="s">
        <v>37</v>
      </c>
      <c r="C77" s="86"/>
      <c r="D77" s="86" t="s">
        <v>37</v>
      </c>
      <c r="E77" s="54"/>
      <c r="F77" s="54"/>
      <c r="G77" s="54"/>
      <c r="R77" s="54"/>
      <c r="S77" s="54"/>
      <c r="T77" s="54"/>
      <c r="U77" s="54">
        <f t="shared" ref="U77:U140" si="3">E77-R77</f>
        <v>0</v>
      </c>
      <c r="V77" s="54">
        <f t="shared" ref="V77:V140" si="4">F77-S77</f>
        <v>0</v>
      </c>
      <c r="W77" s="54">
        <f t="shared" ref="W77:W140" si="5">G77-T77</f>
        <v>0</v>
      </c>
    </row>
    <row r="78" spans="1:23" s="72" customFormat="1" hidden="1" x14ac:dyDescent="0.25">
      <c r="A78" s="85" t="s">
        <v>347</v>
      </c>
      <c r="B78" s="86" t="s">
        <v>37</v>
      </c>
      <c r="C78" s="86"/>
      <c r="D78" s="86" t="s">
        <v>37</v>
      </c>
      <c r="E78" s="54"/>
      <c r="F78" s="54"/>
      <c r="G78" s="54"/>
      <c r="R78" s="54"/>
      <c r="S78" s="54"/>
      <c r="T78" s="54"/>
      <c r="U78" s="54">
        <f t="shared" si="3"/>
        <v>0</v>
      </c>
      <c r="V78" s="54">
        <f t="shared" si="4"/>
        <v>0</v>
      </c>
      <c r="W78" s="54">
        <f t="shared" si="5"/>
        <v>0</v>
      </c>
    </row>
    <row r="79" spans="1:23" s="72" customFormat="1" ht="27.6" hidden="1" x14ac:dyDescent="0.25">
      <c r="A79" s="85" t="s">
        <v>348</v>
      </c>
      <c r="B79" s="86" t="s">
        <v>37</v>
      </c>
      <c r="C79" s="86"/>
      <c r="D79" s="86" t="s">
        <v>37</v>
      </c>
      <c r="E79" s="54"/>
      <c r="F79" s="54"/>
      <c r="G79" s="54"/>
      <c r="R79" s="54"/>
      <c r="S79" s="54"/>
      <c r="T79" s="54"/>
      <c r="U79" s="54">
        <f t="shared" si="3"/>
        <v>0</v>
      </c>
      <c r="V79" s="54">
        <f t="shared" si="4"/>
        <v>0</v>
      </c>
      <c r="W79" s="54">
        <f t="shared" si="5"/>
        <v>0</v>
      </c>
    </row>
    <row r="80" spans="1:23" s="105" customFormat="1" x14ac:dyDescent="0.25">
      <c r="A80" s="375" t="s">
        <v>79</v>
      </c>
      <c r="B80" s="373" t="s">
        <v>37</v>
      </c>
      <c r="C80" s="373" t="s">
        <v>37</v>
      </c>
      <c r="D80" s="373" t="s">
        <v>37</v>
      </c>
      <c r="E80" s="51">
        <f>SUM(E81,E82,E83,E84,E85,E86,E87,E95,E93,E119,E137,E139,E140,E141,E142,E144,E154,E91,E94,E138,E90,E92,E136,E143)</f>
        <v>4867897.7699999996</v>
      </c>
      <c r="F80" s="51">
        <f>SUM(F81,F82,F83,F84,F85,F86,F87,F95,F93,F119,F137,F139,F140,F141,F142,F144,F154,F91,F94,F138,F90,F92,F136,F143)</f>
        <v>4468798</v>
      </c>
      <c r="G80" s="51">
        <f>SUM(G81,G82,G83,G84,G85,G86,G87,G95,G93,G119,G137,G139,G140,G141,G142,G144,G154,G91,G94,G138,G90,G92,G136,G143)</f>
        <v>4468798</v>
      </c>
      <c r="H80" s="377" t="s">
        <v>773</v>
      </c>
      <c r="R80" s="51"/>
      <c r="S80" s="51"/>
      <c r="T80" s="51"/>
      <c r="U80" s="51">
        <f t="shared" si="3"/>
        <v>4867897.7699999996</v>
      </c>
      <c r="V80" s="51">
        <f t="shared" si="4"/>
        <v>4468798</v>
      </c>
      <c r="W80" s="51">
        <f t="shared" si="5"/>
        <v>4468798</v>
      </c>
    </row>
    <row r="81" spans="1:23" x14ac:dyDescent="0.25">
      <c r="A81" s="52" t="s">
        <v>241</v>
      </c>
      <c r="B81" s="53" t="s">
        <v>243</v>
      </c>
      <c r="C81" s="53" t="s">
        <v>244</v>
      </c>
      <c r="D81" s="53" t="s">
        <v>37</v>
      </c>
      <c r="E81" s="54">
        <f t="shared" ref="E81:G86" si="6">SUM(E981,E171,E261,E351,E801,E441,E531,E891,E621,E711)</f>
        <v>389628.52</v>
      </c>
      <c r="F81" s="54">
        <f t="shared" si="6"/>
        <v>311074</v>
      </c>
      <c r="G81" s="54">
        <f t="shared" si="6"/>
        <v>311074</v>
      </c>
      <c r="H81" s="56"/>
      <c r="R81" s="54"/>
      <c r="S81" s="54"/>
      <c r="T81" s="54"/>
      <c r="U81" s="54">
        <f t="shared" si="3"/>
        <v>389628.52</v>
      </c>
      <c r="V81" s="54">
        <f t="shared" si="4"/>
        <v>311074</v>
      </c>
      <c r="W81" s="54">
        <f t="shared" si="5"/>
        <v>311074</v>
      </c>
    </row>
    <row r="82" spans="1:23" x14ac:dyDescent="0.25">
      <c r="A82" s="52" t="s">
        <v>245</v>
      </c>
      <c r="B82" s="53" t="s">
        <v>243</v>
      </c>
      <c r="C82" s="53" t="s">
        <v>246</v>
      </c>
      <c r="D82" s="53" t="s">
        <v>37</v>
      </c>
      <c r="E82" s="54">
        <f t="shared" si="6"/>
        <v>1000</v>
      </c>
      <c r="F82" s="54">
        <f t="shared" si="6"/>
        <v>1000</v>
      </c>
      <c r="G82" s="54">
        <f t="shared" si="6"/>
        <v>1000</v>
      </c>
      <c r="H82" s="56"/>
      <c r="R82" s="54"/>
      <c r="S82" s="54"/>
      <c r="T82" s="54"/>
      <c r="U82" s="54">
        <f t="shared" si="3"/>
        <v>1000</v>
      </c>
      <c r="V82" s="54">
        <f t="shared" si="4"/>
        <v>1000</v>
      </c>
      <c r="W82" s="54">
        <f t="shared" si="5"/>
        <v>1000</v>
      </c>
    </row>
    <row r="83" spans="1:23" s="58" customFormat="1" hidden="1" x14ac:dyDescent="0.25">
      <c r="A83" s="52" t="s">
        <v>247</v>
      </c>
      <c r="B83" s="53" t="s">
        <v>250</v>
      </c>
      <c r="C83" s="53" t="s">
        <v>246</v>
      </c>
      <c r="D83" s="53" t="s">
        <v>37</v>
      </c>
      <c r="E83" s="54">
        <f t="shared" si="6"/>
        <v>0</v>
      </c>
      <c r="F83" s="54">
        <f t="shared" si="6"/>
        <v>0</v>
      </c>
      <c r="G83" s="54">
        <f t="shared" si="6"/>
        <v>0</v>
      </c>
      <c r="H83" s="57"/>
      <c r="I83" s="57"/>
      <c r="R83" s="54"/>
      <c r="S83" s="54"/>
      <c r="T83" s="54"/>
      <c r="U83" s="54">
        <f t="shared" si="3"/>
        <v>0</v>
      </c>
      <c r="V83" s="54">
        <f t="shared" si="4"/>
        <v>0</v>
      </c>
      <c r="W83" s="54">
        <f t="shared" si="5"/>
        <v>0</v>
      </c>
    </row>
    <row r="84" spans="1:23" s="58" customFormat="1" hidden="1" x14ac:dyDescent="0.25">
      <c r="A84" s="52" t="s">
        <v>251</v>
      </c>
      <c r="B84" s="53" t="s">
        <v>250</v>
      </c>
      <c r="C84" s="53" t="s">
        <v>252</v>
      </c>
      <c r="D84" s="53" t="s">
        <v>37</v>
      </c>
      <c r="E84" s="54">
        <f t="shared" si="6"/>
        <v>0</v>
      </c>
      <c r="F84" s="54">
        <f t="shared" si="6"/>
        <v>0</v>
      </c>
      <c r="G84" s="54">
        <f t="shared" si="6"/>
        <v>0</v>
      </c>
      <c r="H84" s="57"/>
      <c r="I84" s="57"/>
      <c r="R84" s="54"/>
      <c r="S84" s="54"/>
      <c r="T84" s="54"/>
      <c r="U84" s="54">
        <f t="shared" si="3"/>
        <v>0</v>
      </c>
      <c r="V84" s="54">
        <f t="shared" si="4"/>
        <v>0</v>
      </c>
      <c r="W84" s="54">
        <f t="shared" si="5"/>
        <v>0</v>
      </c>
    </row>
    <row r="85" spans="1:23" s="58" customFormat="1" x14ac:dyDescent="0.25">
      <c r="A85" s="52" t="s">
        <v>1272</v>
      </c>
      <c r="B85" s="53" t="s">
        <v>250</v>
      </c>
      <c r="C85" s="53" t="s">
        <v>246</v>
      </c>
      <c r="D85" s="53" t="s">
        <v>37</v>
      </c>
      <c r="E85" s="54">
        <f t="shared" si="6"/>
        <v>0</v>
      </c>
      <c r="F85" s="54">
        <f t="shared" si="6"/>
        <v>0</v>
      </c>
      <c r="G85" s="54">
        <f t="shared" si="6"/>
        <v>0</v>
      </c>
      <c r="H85" s="57"/>
      <c r="I85" s="57"/>
      <c r="R85" s="54"/>
      <c r="S85" s="54"/>
      <c r="T85" s="54"/>
      <c r="U85" s="54">
        <f t="shared" si="3"/>
        <v>0</v>
      </c>
      <c r="V85" s="54">
        <f t="shared" si="4"/>
        <v>0</v>
      </c>
      <c r="W85" s="54">
        <f t="shared" si="5"/>
        <v>0</v>
      </c>
    </row>
    <row r="86" spans="1:23" x14ac:dyDescent="0.25">
      <c r="A86" s="52" t="s">
        <v>254</v>
      </c>
      <c r="B86" s="53" t="s">
        <v>256</v>
      </c>
      <c r="C86" s="53" t="s">
        <v>257</v>
      </c>
      <c r="D86" s="53" t="s">
        <v>37</v>
      </c>
      <c r="E86" s="54">
        <f t="shared" si="6"/>
        <v>115036.12</v>
      </c>
      <c r="F86" s="54">
        <f t="shared" si="6"/>
        <v>94246</v>
      </c>
      <c r="G86" s="54">
        <f t="shared" si="6"/>
        <v>94246</v>
      </c>
      <c r="H86" s="56"/>
      <c r="R86" s="54"/>
      <c r="S86" s="54"/>
      <c r="T86" s="54"/>
      <c r="U86" s="54">
        <f t="shared" si="3"/>
        <v>115036.12</v>
      </c>
      <c r="V86" s="54">
        <f t="shared" si="4"/>
        <v>94246</v>
      </c>
      <c r="W86" s="54">
        <f t="shared" si="5"/>
        <v>94246</v>
      </c>
    </row>
    <row r="87" spans="1:23" s="45" customFormat="1" x14ac:dyDescent="0.25">
      <c r="A87" s="59" t="s">
        <v>258</v>
      </c>
      <c r="B87" s="60" t="s">
        <v>259</v>
      </c>
      <c r="C87" s="60" t="s">
        <v>260</v>
      </c>
      <c r="D87" s="60" t="s">
        <v>37</v>
      </c>
      <c r="E87" s="834">
        <f>SUM(E88:E89)+2072+74.9</f>
        <v>15938.2</v>
      </c>
      <c r="F87" s="61">
        <f>SUM(F88:F89)</f>
        <v>13600</v>
      </c>
      <c r="G87" s="61">
        <f>SUM(G88:G89)</f>
        <v>13600</v>
      </c>
      <c r="H87" s="63">
        <f>E87+E95+E119+E91+E90</f>
        <v>407290.32</v>
      </c>
      <c r="R87" s="61"/>
      <c r="S87" s="61"/>
      <c r="T87" s="61"/>
      <c r="U87" s="61">
        <f t="shared" si="3"/>
        <v>15938.2</v>
      </c>
      <c r="V87" s="61">
        <f t="shared" si="4"/>
        <v>13600</v>
      </c>
      <c r="W87" s="61">
        <f t="shared" si="5"/>
        <v>13600</v>
      </c>
    </row>
    <row r="88" spans="1:23" ht="27.6" x14ac:dyDescent="0.25">
      <c r="A88" s="52" t="s">
        <v>1274</v>
      </c>
      <c r="B88" s="53" t="s">
        <v>259</v>
      </c>
      <c r="C88" s="53" t="s">
        <v>260</v>
      </c>
      <c r="D88" s="53" t="s">
        <v>37</v>
      </c>
      <c r="E88" s="54">
        <f t="shared" ref="E88:G91" si="7">SUM(E988,E178,E268,E358,E808,E448,E538,E898,E628,E718)</f>
        <v>191.3</v>
      </c>
      <c r="F88" s="54">
        <f t="shared" si="7"/>
        <v>0</v>
      </c>
      <c r="G88" s="54">
        <f t="shared" si="7"/>
        <v>0</v>
      </c>
      <c r="H88" s="56"/>
      <c r="I88" s="56"/>
      <c r="R88" s="54"/>
      <c r="S88" s="54"/>
      <c r="T88" s="54"/>
      <c r="U88" s="54">
        <f t="shared" si="3"/>
        <v>191.3</v>
      </c>
      <c r="V88" s="54">
        <f t="shared" si="4"/>
        <v>0</v>
      </c>
      <c r="W88" s="54">
        <f t="shared" si="5"/>
        <v>0</v>
      </c>
    </row>
    <row r="89" spans="1:23" s="58" customFormat="1" x14ac:dyDescent="0.25">
      <c r="A89" s="52" t="s">
        <v>263</v>
      </c>
      <c r="B89" s="53" t="s">
        <v>259</v>
      </c>
      <c r="C89" s="53" t="s">
        <v>260</v>
      </c>
      <c r="D89" s="53" t="s">
        <v>37</v>
      </c>
      <c r="E89" s="54">
        <f t="shared" si="7"/>
        <v>13600</v>
      </c>
      <c r="F89" s="54">
        <f t="shared" si="7"/>
        <v>13600</v>
      </c>
      <c r="G89" s="54">
        <f t="shared" si="7"/>
        <v>13600</v>
      </c>
      <c r="H89" s="57"/>
      <c r="I89" s="57"/>
      <c r="R89" s="54"/>
      <c r="S89" s="54"/>
      <c r="T89" s="54"/>
      <c r="U89" s="54">
        <f t="shared" si="3"/>
        <v>13600</v>
      </c>
      <c r="V89" s="54">
        <f t="shared" si="4"/>
        <v>13600</v>
      </c>
      <c r="W89" s="54">
        <f t="shared" si="5"/>
        <v>13600</v>
      </c>
    </row>
    <row r="90" spans="1:23" s="58" customFormat="1" x14ac:dyDescent="0.25">
      <c r="A90" s="52" t="s">
        <v>264</v>
      </c>
      <c r="B90" s="53" t="s">
        <v>259</v>
      </c>
      <c r="C90" s="53" t="s">
        <v>265</v>
      </c>
      <c r="D90" s="53" t="s">
        <v>37</v>
      </c>
      <c r="E90" s="54">
        <f t="shared" si="7"/>
        <v>1400</v>
      </c>
      <c r="F90" s="54">
        <f t="shared" si="7"/>
        <v>1400</v>
      </c>
      <c r="G90" s="54">
        <f t="shared" si="7"/>
        <v>1400</v>
      </c>
      <c r="I90" s="57"/>
      <c r="R90" s="54"/>
      <c r="S90" s="54"/>
      <c r="T90" s="54"/>
      <c r="U90" s="54">
        <f t="shared" si="3"/>
        <v>1400</v>
      </c>
      <c r="V90" s="54">
        <f t="shared" si="4"/>
        <v>1400</v>
      </c>
      <c r="W90" s="54">
        <f t="shared" si="5"/>
        <v>1400</v>
      </c>
    </row>
    <row r="91" spans="1:23" x14ac:dyDescent="0.25">
      <c r="A91" s="52" t="s">
        <v>266</v>
      </c>
      <c r="B91" s="53" t="s">
        <v>259</v>
      </c>
      <c r="C91" s="53" t="s">
        <v>268</v>
      </c>
      <c r="D91" s="53" t="s">
        <v>37</v>
      </c>
      <c r="E91" s="54">
        <f t="shared" si="7"/>
        <v>34498.559999999998</v>
      </c>
      <c r="F91" s="54">
        <f t="shared" si="7"/>
        <v>58239</v>
      </c>
      <c r="G91" s="54">
        <f t="shared" si="7"/>
        <v>58239</v>
      </c>
      <c r="H91" s="56"/>
      <c r="I91" s="56"/>
      <c r="R91" s="54"/>
      <c r="S91" s="54"/>
      <c r="T91" s="54"/>
      <c r="U91" s="54">
        <f t="shared" si="3"/>
        <v>34498.559999999998</v>
      </c>
      <c r="V91" s="54">
        <f t="shared" si="4"/>
        <v>58239</v>
      </c>
      <c r="W91" s="54">
        <f t="shared" si="5"/>
        <v>58239</v>
      </c>
    </row>
    <row r="92" spans="1:23" x14ac:dyDescent="0.25">
      <c r="A92" s="52" t="s">
        <v>266</v>
      </c>
      <c r="B92" s="65" t="s">
        <v>745</v>
      </c>
      <c r="C92" s="53" t="s">
        <v>268</v>
      </c>
      <c r="D92" s="53" t="s">
        <v>37</v>
      </c>
      <c r="E92" s="54">
        <f>SUM(E993,E182,E272,E362,E812,E452,E542,E902,E632,E722)</f>
        <v>58928.800000000003</v>
      </c>
      <c r="F92" s="54">
        <f>SUM(F993,F182,F272,F362,F812,F452,F542,F902,F632,F722)</f>
        <v>9481</v>
      </c>
      <c r="G92" s="54">
        <f>SUM(G993,G182,G272,G362,G812,G452,G542,G902,G632,G722)</f>
        <v>9481</v>
      </c>
      <c r="H92" s="56"/>
      <c r="I92" s="56"/>
      <c r="R92" s="54"/>
      <c r="S92" s="54"/>
      <c r="T92" s="54"/>
      <c r="U92" s="54">
        <f t="shared" si="3"/>
        <v>58928.800000000003</v>
      </c>
      <c r="V92" s="54">
        <f t="shared" si="4"/>
        <v>9481</v>
      </c>
      <c r="W92" s="54">
        <f t="shared" si="5"/>
        <v>9481</v>
      </c>
    </row>
    <row r="93" spans="1:23" hidden="1" x14ac:dyDescent="0.25">
      <c r="A93" s="64" t="s">
        <v>269</v>
      </c>
      <c r="B93" s="65" t="s">
        <v>259</v>
      </c>
      <c r="C93" s="53" t="s">
        <v>268</v>
      </c>
      <c r="D93" s="53" t="s">
        <v>37</v>
      </c>
      <c r="E93" s="54">
        <f t="shared" ref="E93:G94" si="8">SUM(E993,E183,E273,E363,E813,E453,E543,E903,E633,E723)</f>
        <v>0</v>
      </c>
      <c r="F93" s="54">
        <f t="shared" si="8"/>
        <v>0</v>
      </c>
      <c r="G93" s="54">
        <f t="shared" si="8"/>
        <v>0</v>
      </c>
      <c r="H93" s="58"/>
      <c r="I93" s="57"/>
      <c r="R93" s="54"/>
      <c r="S93" s="54"/>
      <c r="T93" s="54"/>
      <c r="U93" s="54">
        <f t="shared" si="3"/>
        <v>0</v>
      </c>
      <c r="V93" s="54">
        <f t="shared" si="4"/>
        <v>0</v>
      </c>
      <c r="W93" s="54">
        <f t="shared" si="5"/>
        <v>0</v>
      </c>
    </row>
    <row r="94" spans="1:23" s="58" customFormat="1" hidden="1" x14ac:dyDescent="0.25">
      <c r="A94" s="64" t="s">
        <v>271</v>
      </c>
      <c r="B94" s="65" t="s">
        <v>259</v>
      </c>
      <c r="C94" s="53" t="s">
        <v>272</v>
      </c>
      <c r="D94" s="53" t="s">
        <v>37</v>
      </c>
      <c r="E94" s="54">
        <f t="shared" si="8"/>
        <v>0</v>
      </c>
      <c r="F94" s="54">
        <f t="shared" si="8"/>
        <v>0</v>
      </c>
      <c r="G94" s="54">
        <f t="shared" si="8"/>
        <v>0</v>
      </c>
      <c r="H94" s="57"/>
      <c r="I94" s="57"/>
      <c r="R94" s="54"/>
      <c r="S94" s="54"/>
      <c r="T94" s="54"/>
      <c r="U94" s="54">
        <f t="shared" si="3"/>
        <v>0</v>
      </c>
      <c r="V94" s="54">
        <f t="shared" si="4"/>
        <v>0</v>
      </c>
      <c r="W94" s="54">
        <f t="shared" si="5"/>
        <v>0</v>
      </c>
    </row>
    <row r="95" spans="1:23" s="45" customFormat="1" ht="18" customHeight="1" x14ac:dyDescent="0.25">
      <c r="A95" s="59" t="s">
        <v>273</v>
      </c>
      <c r="B95" s="60" t="s">
        <v>259</v>
      </c>
      <c r="C95" s="60" t="s">
        <v>274</v>
      </c>
      <c r="D95" s="104" t="s">
        <v>37</v>
      </c>
      <c r="E95" s="62">
        <f>SUM(E96:E118)</f>
        <v>135247.26</v>
      </c>
      <c r="F95" s="62">
        <f>SUM(F96:F118)</f>
        <v>90000</v>
      </c>
      <c r="G95" s="62">
        <f>SUM(G96:G118)</f>
        <v>90000</v>
      </c>
      <c r="H95" s="63"/>
      <c r="I95" s="63"/>
      <c r="R95" s="62"/>
      <c r="S95" s="62"/>
      <c r="T95" s="62"/>
      <c r="U95" s="62">
        <f t="shared" si="3"/>
        <v>135247.26</v>
      </c>
      <c r="V95" s="62">
        <f t="shared" si="4"/>
        <v>90000</v>
      </c>
      <c r="W95" s="62">
        <f t="shared" si="5"/>
        <v>90000</v>
      </c>
    </row>
    <row r="96" spans="1:23" ht="29.25" hidden="1" customHeight="1" x14ac:dyDescent="0.25">
      <c r="A96" s="52" t="s">
        <v>769</v>
      </c>
      <c r="B96" s="53" t="s">
        <v>259</v>
      </c>
      <c r="C96" s="53" t="s">
        <v>274</v>
      </c>
      <c r="D96" s="53" t="s">
        <v>37</v>
      </c>
      <c r="E96" s="54">
        <f t="shared" ref="E96:G118" si="9">SUM(E996,E186,E276,E366,E816,E456,E546,E906,E636,E726)</f>
        <v>0</v>
      </c>
      <c r="F96" s="54">
        <f t="shared" si="9"/>
        <v>0</v>
      </c>
      <c r="G96" s="54">
        <f t="shared" si="9"/>
        <v>0</v>
      </c>
      <c r="H96" s="56"/>
      <c r="I96" s="56"/>
      <c r="R96" s="54"/>
      <c r="S96" s="54"/>
      <c r="T96" s="54"/>
      <c r="U96" s="54">
        <f t="shared" si="3"/>
        <v>0</v>
      </c>
      <c r="V96" s="54">
        <f t="shared" si="4"/>
        <v>0</v>
      </c>
      <c r="W96" s="54">
        <f t="shared" si="5"/>
        <v>0</v>
      </c>
    </row>
    <row r="97" spans="1:23" s="66" customFormat="1" ht="15" hidden="1" customHeight="1" x14ac:dyDescent="0.25">
      <c r="A97" s="52" t="s">
        <v>389</v>
      </c>
      <c r="B97" s="53" t="s">
        <v>259</v>
      </c>
      <c r="C97" s="53" t="s">
        <v>274</v>
      </c>
      <c r="D97" s="570" t="s">
        <v>399</v>
      </c>
      <c r="E97" s="54">
        <f t="shared" si="9"/>
        <v>0</v>
      </c>
      <c r="F97" s="54">
        <f t="shared" si="9"/>
        <v>0</v>
      </c>
      <c r="G97" s="54">
        <f t="shared" si="9"/>
        <v>0</v>
      </c>
      <c r="I97" s="67"/>
      <c r="R97" s="54"/>
      <c r="S97" s="54"/>
      <c r="T97" s="54"/>
      <c r="U97" s="54">
        <f t="shared" si="3"/>
        <v>0</v>
      </c>
      <c r="V97" s="54">
        <f t="shared" si="4"/>
        <v>0</v>
      </c>
      <c r="W97" s="54">
        <f t="shared" si="5"/>
        <v>0</v>
      </c>
    </row>
    <row r="98" spans="1:23" ht="27.6" hidden="1" x14ac:dyDescent="0.25">
      <c r="A98" s="52" t="s">
        <v>890</v>
      </c>
      <c r="B98" s="53" t="s">
        <v>259</v>
      </c>
      <c r="C98" s="53" t="s">
        <v>274</v>
      </c>
      <c r="D98" s="53" t="s">
        <v>37</v>
      </c>
      <c r="E98" s="54">
        <f t="shared" si="9"/>
        <v>0</v>
      </c>
      <c r="F98" s="54">
        <f t="shared" si="9"/>
        <v>0</v>
      </c>
      <c r="G98" s="54">
        <f t="shared" si="9"/>
        <v>0</v>
      </c>
      <c r="H98" s="56"/>
      <c r="I98" s="56"/>
      <c r="R98" s="54"/>
      <c r="S98" s="54"/>
      <c r="T98" s="54"/>
      <c r="U98" s="54">
        <f t="shared" si="3"/>
        <v>0</v>
      </c>
      <c r="V98" s="54">
        <f t="shared" si="4"/>
        <v>0</v>
      </c>
      <c r="W98" s="54">
        <f t="shared" si="5"/>
        <v>0</v>
      </c>
    </row>
    <row r="99" spans="1:23" ht="15" hidden="1" customHeight="1" x14ac:dyDescent="0.25">
      <c r="A99" s="52" t="s">
        <v>280</v>
      </c>
      <c r="B99" s="53" t="s">
        <v>259</v>
      </c>
      <c r="C99" s="53" t="s">
        <v>274</v>
      </c>
      <c r="D99" s="53" t="s">
        <v>37</v>
      </c>
      <c r="E99" s="54">
        <f t="shared" si="9"/>
        <v>0</v>
      </c>
      <c r="F99" s="54">
        <f t="shared" si="9"/>
        <v>0</v>
      </c>
      <c r="G99" s="54">
        <f t="shared" si="9"/>
        <v>0</v>
      </c>
      <c r="H99" s="56"/>
      <c r="I99" s="56"/>
      <c r="R99" s="54"/>
      <c r="S99" s="54"/>
      <c r="T99" s="54"/>
      <c r="U99" s="54">
        <f t="shared" si="3"/>
        <v>0</v>
      </c>
      <c r="V99" s="54">
        <f t="shared" si="4"/>
        <v>0</v>
      </c>
      <c r="W99" s="54">
        <f t="shared" si="5"/>
        <v>0</v>
      </c>
    </row>
    <row r="100" spans="1:23" ht="27.6" hidden="1" x14ac:dyDescent="0.25">
      <c r="A100" s="52" t="s">
        <v>780</v>
      </c>
      <c r="B100" s="53" t="s">
        <v>259</v>
      </c>
      <c r="C100" s="53" t="s">
        <v>274</v>
      </c>
      <c r="D100" s="53" t="s">
        <v>37</v>
      </c>
      <c r="E100" s="54">
        <f t="shared" si="9"/>
        <v>0</v>
      </c>
      <c r="F100" s="54">
        <f t="shared" si="9"/>
        <v>0</v>
      </c>
      <c r="G100" s="54">
        <f t="shared" si="9"/>
        <v>0</v>
      </c>
      <c r="I100" s="56"/>
      <c r="R100" s="54"/>
      <c r="S100" s="54"/>
      <c r="T100" s="54"/>
      <c r="U100" s="54">
        <f t="shared" si="3"/>
        <v>0</v>
      </c>
      <c r="V100" s="54">
        <f t="shared" si="4"/>
        <v>0</v>
      </c>
      <c r="W100" s="54">
        <f t="shared" si="5"/>
        <v>0</v>
      </c>
    </row>
    <row r="101" spans="1:23" ht="14.25" hidden="1" customHeight="1" x14ac:dyDescent="0.25">
      <c r="A101" s="52" t="s">
        <v>282</v>
      </c>
      <c r="B101" s="53" t="s">
        <v>259</v>
      </c>
      <c r="C101" s="53" t="s">
        <v>274</v>
      </c>
      <c r="D101" s="53" t="s">
        <v>37</v>
      </c>
      <c r="E101" s="54">
        <f t="shared" si="9"/>
        <v>0</v>
      </c>
      <c r="F101" s="54">
        <f t="shared" si="9"/>
        <v>0</v>
      </c>
      <c r="G101" s="54">
        <f t="shared" si="9"/>
        <v>0</v>
      </c>
      <c r="I101" s="56"/>
      <c r="R101" s="54"/>
      <c r="S101" s="54"/>
      <c r="T101" s="54"/>
      <c r="U101" s="54">
        <f t="shared" si="3"/>
        <v>0</v>
      </c>
      <c r="V101" s="54">
        <f t="shared" si="4"/>
        <v>0</v>
      </c>
      <c r="W101" s="54">
        <f t="shared" si="5"/>
        <v>0</v>
      </c>
    </row>
    <row r="102" spans="1:23" ht="14.25" hidden="1" customHeight="1" x14ac:dyDescent="0.25">
      <c r="A102" s="70" t="s">
        <v>750</v>
      </c>
      <c r="B102" s="53" t="s">
        <v>259</v>
      </c>
      <c r="C102" s="53" t="s">
        <v>274</v>
      </c>
      <c r="D102" s="53" t="s">
        <v>37</v>
      </c>
      <c r="E102" s="54">
        <f t="shared" si="9"/>
        <v>0</v>
      </c>
      <c r="F102" s="54">
        <f t="shared" si="9"/>
        <v>0</v>
      </c>
      <c r="G102" s="54">
        <f t="shared" si="9"/>
        <v>0</v>
      </c>
      <c r="I102" s="56"/>
      <c r="R102" s="54"/>
      <c r="S102" s="54"/>
      <c r="T102" s="54"/>
      <c r="U102" s="54">
        <f t="shared" si="3"/>
        <v>0</v>
      </c>
      <c r="V102" s="54">
        <f t="shared" si="4"/>
        <v>0</v>
      </c>
      <c r="W102" s="54">
        <f t="shared" si="5"/>
        <v>0</v>
      </c>
    </row>
    <row r="103" spans="1:23" ht="14.25" hidden="1" customHeight="1" x14ac:dyDescent="0.25">
      <c r="A103" s="52" t="s">
        <v>379</v>
      </c>
      <c r="B103" s="53" t="s">
        <v>259</v>
      </c>
      <c r="C103" s="53" t="s">
        <v>274</v>
      </c>
      <c r="D103" s="53" t="s">
        <v>37</v>
      </c>
      <c r="E103" s="54">
        <f t="shared" si="9"/>
        <v>0</v>
      </c>
      <c r="F103" s="54">
        <f t="shared" si="9"/>
        <v>0</v>
      </c>
      <c r="G103" s="54">
        <f t="shared" si="9"/>
        <v>0</v>
      </c>
      <c r="I103" s="56"/>
      <c r="R103" s="54"/>
      <c r="S103" s="54"/>
      <c r="T103" s="54"/>
      <c r="U103" s="54">
        <f t="shared" si="3"/>
        <v>0</v>
      </c>
      <c r="V103" s="54">
        <f t="shared" si="4"/>
        <v>0</v>
      </c>
      <c r="W103" s="54">
        <f t="shared" si="5"/>
        <v>0</v>
      </c>
    </row>
    <row r="104" spans="1:23" ht="14.25" hidden="1" customHeight="1" x14ac:dyDescent="0.25">
      <c r="A104" s="52" t="s">
        <v>378</v>
      </c>
      <c r="B104" s="53" t="s">
        <v>259</v>
      </c>
      <c r="C104" s="53" t="s">
        <v>274</v>
      </c>
      <c r="D104" s="53" t="s">
        <v>37</v>
      </c>
      <c r="E104" s="54">
        <f t="shared" si="9"/>
        <v>0</v>
      </c>
      <c r="F104" s="54">
        <f t="shared" si="9"/>
        <v>0</v>
      </c>
      <c r="G104" s="54">
        <f t="shared" si="9"/>
        <v>0</v>
      </c>
      <c r="I104" s="56"/>
      <c r="R104" s="54"/>
      <c r="S104" s="54"/>
      <c r="T104" s="54"/>
      <c r="U104" s="54">
        <f t="shared" si="3"/>
        <v>0</v>
      </c>
      <c r="V104" s="54">
        <f t="shared" si="4"/>
        <v>0</v>
      </c>
      <c r="W104" s="54">
        <f t="shared" si="5"/>
        <v>0</v>
      </c>
    </row>
    <row r="105" spans="1:23" ht="14.25" hidden="1" customHeight="1" x14ac:dyDescent="0.25">
      <c r="A105" s="52" t="s">
        <v>284</v>
      </c>
      <c r="B105" s="53" t="s">
        <v>259</v>
      </c>
      <c r="C105" s="53" t="s">
        <v>274</v>
      </c>
      <c r="D105" s="53" t="s">
        <v>37</v>
      </c>
      <c r="E105" s="54">
        <f t="shared" si="9"/>
        <v>45247.26</v>
      </c>
      <c r="F105" s="54">
        <f t="shared" si="9"/>
        <v>0</v>
      </c>
      <c r="G105" s="54">
        <f t="shared" si="9"/>
        <v>0</v>
      </c>
      <c r="I105" s="56"/>
      <c r="R105" s="54"/>
      <c r="S105" s="54"/>
      <c r="T105" s="54"/>
      <c r="U105" s="54">
        <f t="shared" si="3"/>
        <v>45247.26</v>
      </c>
      <c r="V105" s="54">
        <f t="shared" si="4"/>
        <v>0</v>
      </c>
      <c r="W105" s="54">
        <f t="shared" si="5"/>
        <v>0</v>
      </c>
    </row>
    <row r="106" spans="1:23" ht="14.25" hidden="1" customHeight="1" x14ac:dyDescent="0.25">
      <c r="A106" s="69" t="s">
        <v>804</v>
      </c>
      <c r="B106" s="53" t="s">
        <v>259</v>
      </c>
      <c r="C106" s="53" t="s">
        <v>274</v>
      </c>
      <c r="D106" s="53" t="s">
        <v>37</v>
      </c>
      <c r="E106" s="54">
        <f t="shared" si="9"/>
        <v>0</v>
      </c>
      <c r="F106" s="54">
        <f t="shared" si="9"/>
        <v>0</v>
      </c>
      <c r="G106" s="54">
        <f t="shared" si="9"/>
        <v>0</v>
      </c>
      <c r="I106" s="56"/>
      <c r="R106" s="54"/>
      <c r="S106" s="54"/>
      <c r="T106" s="54"/>
      <c r="U106" s="54">
        <f t="shared" si="3"/>
        <v>0</v>
      </c>
      <c r="V106" s="54">
        <f t="shared" si="4"/>
        <v>0</v>
      </c>
      <c r="W106" s="54">
        <f t="shared" si="5"/>
        <v>0</v>
      </c>
    </row>
    <row r="107" spans="1:23" ht="14.25" customHeight="1" x14ac:dyDescent="0.25">
      <c r="A107" s="824" t="s">
        <v>290</v>
      </c>
      <c r="B107" s="53" t="s">
        <v>259</v>
      </c>
      <c r="C107" s="53" t="s">
        <v>274</v>
      </c>
      <c r="D107" s="53" t="s">
        <v>37</v>
      </c>
      <c r="E107" s="823">
        <f t="shared" si="9"/>
        <v>25000</v>
      </c>
      <c r="F107" s="823">
        <f t="shared" si="9"/>
        <v>25000</v>
      </c>
      <c r="G107" s="823">
        <f t="shared" si="9"/>
        <v>25000</v>
      </c>
      <c r="I107" s="56"/>
      <c r="R107" s="54"/>
      <c r="S107" s="54"/>
      <c r="T107" s="54"/>
      <c r="U107" s="54">
        <f t="shared" si="3"/>
        <v>25000</v>
      </c>
      <c r="V107" s="54">
        <f t="shared" si="4"/>
        <v>25000</v>
      </c>
      <c r="W107" s="54">
        <f t="shared" si="5"/>
        <v>25000</v>
      </c>
    </row>
    <row r="108" spans="1:23" ht="14.25" hidden="1" customHeight="1" x14ac:dyDescent="0.25">
      <c r="A108" s="52" t="s">
        <v>784</v>
      </c>
      <c r="B108" s="53" t="s">
        <v>259</v>
      </c>
      <c r="C108" s="53" t="s">
        <v>274</v>
      </c>
      <c r="D108" s="53" t="s">
        <v>37</v>
      </c>
      <c r="E108" s="54">
        <f t="shared" si="9"/>
        <v>0</v>
      </c>
      <c r="F108" s="54">
        <f t="shared" si="9"/>
        <v>0</v>
      </c>
      <c r="G108" s="54">
        <f t="shared" si="9"/>
        <v>0</v>
      </c>
      <c r="I108" s="56"/>
      <c r="R108" s="54"/>
      <c r="S108" s="54"/>
      <c r="T108" s="54"/>
      <c r="U108" s="54">
        <f t="shared" si="3"/>
        <v>0</v>
      </c>
      <c r="V108" s="54">
        <f t="shared" si="4"/>
        <v>0</v>
      </c>
      <c r="W108" s="54">
        <f t="shared" si="5"/>
        <v>0</v>
      </c>
    </row>
    <row r="109" spans="1:23" ht="14.25" customHeight="1" x14ac:dyDescent="0.25">
      <c r="A109" s="824" t="s">
        <v>1262</v>
      </c>
      <c r="B109" s="53" t="s">
        <v>259</v>
      </c>
      <c r="C109" s="53" t="s">
        <v>274</v>
      </c>
      <c r="D109" s="53" t="s">
        <v>37</v>
      </c>
      <c r="E109" s="823">
        <f t="shared" si="9"/>
        <v>10000</v>
      </c>
      <c r="F109" s="823">
        <f t="shared" si="9"/>
        <v>10000</v>
      </c>
      <c r="G109" s="823">
        <f t="shared" si="9"/>
        <v>10000</v>
      </c>
      <c r="I109" s="56"/>
      <c r="R109" s="54"/>
      <c r="S109" s="54"/>
      <c r="T109" s="54"/>
      <c r="U109" s="54">
        <f t="shared" si="3"/>
        <v>10000</v>
      </c>
      <c r="V109" s="54">
        <f t="shared" si="4"/>
        <v>10000</v>
      </c>
      <c r="W109" s="54">
        <f t="shared" si="5"/>
        <v>10000</v>
      </c>
    </row>
    <row r="110" spans="1:23" ht="14.25" customHeight="1" x14ac:dyDescent="0.25">
      <c r="A110" s="824" t="s">
        <v>1263</v>
      </c>
      <c r="B110" s="53" t="s">
        <v>259</v>
      </c>
      <c r="C110" s="53" t="s">
        <v>274</v>
      </c>
      <c r="D110" s="53" t="s">
        <v>37</v>
      </c>
      <c r="E110" s="823">
        <f t="shared" si="9"/>
        <v>25000</v>
      </c>
      <c r="F110" s="823">
        <f t="shared" si="9"/>
        <v>25000</v>
      </c>
      <c r="G110" s="823">
        <f t="shared" si="9"/>
        <v>25000</v>
      </c>
      <c r="I110" s="56"/>
      <c r="R110" s="54"/>
      <c r="S110" s="54"/>
      <c r="T110" s="54"/>
      <c r="U110" s="54">
        <f t="shared" si="3"/>
        <v>25000</v>
      </c>
      <c r="V110" s="54">
        <f t="shared" si="4"/>
        <v>25000</v>
      </c>
      <c r="W110" s="54">
        <f t="shared" si="5"/>
        <v>25000</v>
      </c>
    </row>
    <row r="111" spans="1:23" ht="14.25" customHeight="1" x14ac:dyDescent="0.25">
      <c r="A111" s="824" t="s">
        <v>1264</v>
      </c>
      <c r="B111" s="53" t="s">
        <v>259</v>
      </c>
      <c r="C111" s="53" t="s">
        <v>274</v>
      </c>
      <c r="D111" s="53" t="s">
        <v>37</v>
      </c>
      <c r="E111" s="823">
        <f t="shared" si="9"/>
        <v>27000</v>
      </c>
      <c r="F111" s="823">
        <f t="shared" si="9"/>
        <v>27000</v>
      </c>
      <c r="G111" s="823">
        <f t="shared" si="9"/>
        <v>27000</v>
      </c>
      <c r="I111" s="56"/>
      <c r="R111" s="54"/>
      <c r="S111" s="54"/>
      <c r="T111" s="54"/>
      <c r="U111" s="54">
        <f t="shared" si="3"/>
        <v>27000</v>
      </c>
      <c r="V111" s="54">
        <f t="shared" si="4"/>
        <v>27000</v>
      </c>
      <c r="W111" s="54">
        <f t="shared" si="5"/>
        <v>27000</v>
      </c>
    </row>
    <row r="112" spans="1:23" ht="14.25" hidden="1" customHeight="1" x14ac:dyDescent="0.25">
      <c r="A112" s="52" t="s">
        <v>289</v>
      </c>
      <c r="B112" s="53" t="s">
        <v>259</v>
      </c>
      <c r="C112" s="53" t="s">
        <v>274</v>
      </c>
      <c r="D112" s="53" t="s">
        <v>37</v>
      </c>
      <c r="E112" s="54">
        <f t="shared" si="9"/>
        <v>0</v>
      </c>
      <c r="F112" s="54">
        <f t="shared" si="9"/>
        <v>0</v>
      </c>
      <c r="G112" s="54">
        <f t="shared" si="9"/>
        <v>0</v>
      </c>
      <c r="I112" s="56"/>
      <c r="R112" s="54"/>
      <c r="S112" s="54"/>
      <c r="T112" s="54"/>
      <c r="U112" s="54">
        <f t="shared" si="3"/>
        <v>0</v>
      </c>
      <c r="V112" s="54">
        <f t="shared" si="4"/>
        <v>0</v>
      </c>
      <c r="W112" s="54">
        <f t="shared" si="5"/>
        <v>0</v>
      </c>
    </row>
    <row r="113" spans="1:23" ht="14.25" hidden="1" customHeight="1" x14ac:dyDescent="0.25">
      <c r="A113" s="52" t="s">
        <v>886</v>
      </c>
      <c r="B113" s="53" t="s">
        <v>259</v>
      </c>
      <c r="C113" s="53" t="s">
        <v>274</v>
      </c>
      <c r="D113" s="53" t="s">
        <v>37</v>
      </c>
      <c r="E113" s="54">
        <f t="shared" si="9"/>
        <v>0</v>
      </c>
      <c r="F113" s="54">
        <f t="shared" si="9"/>
        <v>0</v>
      </c>
      <c r="G113" s="54">
        <f t="shared" si="9"/>
        <v>0</v>
      </c>
      <c r="I113" s="56"/>
      <c r="R113" s="54"/>
      <c r="S113" s="54"/>
      <c r="T113" s="54"/>
      <c r="U113" s="54">
        <f t="shared" si="3"/>
        <v>0</v>
      </c>
      <c r="V113" s="54">
        <f t="shared" si="4"/>
        <v>0</v>
      </c>
      <c r="W113" s="54">
        <f t="shared" si="5"/>
        <v>0</v>
      </c>
    </row>
    <row r="114" spans="1:23" ht="14.25" hidden="1" customHeight="1" x14ac:dyDescent="0.25">
      <c r="A114" s="52" t="s">
        <v>825</v>
      </c>
      <c r="B114" s="53" t="s">
        <v>259</v>
      </c>
      <c r="C114" s="53" t="s">
        <v>274</v>
      </c>
      <c r="D114" s="53" t="s">
        <v>37</v>
      </c>
      <c r="E114" s="54">
        <f t="shared" si="9"/>
        <v>0</v>
      </c>
      <c r="F114" s="54">
        <f t="shared" si="9"/>
        <v>0</v>
      </c>
      <c r="G114" s="54">
        <f t="shared" si="9"/>
        <v>0</v>
      </c>
      <c r="I114" s="56"/>
      <c r="R114" s="54"/>
      <c r="S114" s="54"/>
      <c r="T114" s="54"/>
      <c r="U114" s="54">
        <f t="shared" si="3"/>
        <v>0</v>
      </c>
      <c r="V114" s="54">
        <f t="shared" si="4"/>
        <v>0</v>
      </c>
      <c r="W114" s="54">
        <f t="shared" si="5"/>
        <v>0</v>
      </c>
    </row>
    <row r="115" spans="1:23" ht="14.25" hidden="1" customHeight="1" x14ac:dyDescent="0.25">
      <c r="A115" s="52" t="s">
        <v>827</v>
      </c>
      <c r="B115" s="53" t="s">
        <v>259</v>
      </c>
      <c r="C115" s="53" t="s">
        <v>274</v>
      </c>
      <c r="D115" s="53" t="s">
        <v>37</v>
      </c>
      <c r="E115" s="54">
        <f t="shared" si="9"/>
        <v>0</v>
      </c>
      <c r="F115" s="54">
        <f t="shared" si="9"/>
        <v>0</v>
      </c>
      <c r="G115" s="54">
        <f t="shared" si="9"/>
        <v>0</v>
      </c>
      <c r="I115" s="56"/>
      <c r="R115" s="54"/>
      <c r="S115" s="54"/>
      <c r="T115" s="54"/>
      <c r="U115" s="54">
        <f t="shared" si="3"/>
        <v>0</v>
      </c>
      <c r="V115" s="54">
        <f t="shared" si="4"/>
        <v>0</v>
      </c>
      <c r="W115" s="54">
        <f t="shared" si="5"/>
        <v>0</v>
      </c>
    </row>
    <row r="116" spans="1:23" ht="14.25" hidden="1" customHeight="1" x14ac:dyDescent="0.25">
      <c r="A116" s="52" t="s">
        <v>828</v>
      </c>
      <c r="B116" s="53" t="s">
        <v>259</v>
      </c>
      <c r="C116" s="53" t="s">
        <v>274</v>
      </c>
      <c r="D116" s="53" t="s">
        <v>37</v>
      </c>
      <c r="E116" s="54">
        <f t="shared" si="9"/>
        <v>0</v>
      </c>
      <c r="F116" s="54">
        <f t="shared" si="9"/>
        <v>0</v>
      </c>
      <c r="G116" s="54">
        <f t="shared" si="9"/>
        <v>0</v>
      </c>
      <c r="I116" s="56"/>
      <c r="R116" s="54"/>
      <c r="S116" s="54"/>
      <c r="T116" s="54"/>
      <c r="U116" s="54">
        <f t="shared" si="3"/>
        <v>0</v>
      </c>
      <c r="V116" s="54">
        <f t="shared" si="4"/>
        <v>0</v>
      </c>
      <c r="W116" s="54">
        <f t="shared" si="5"/>
        <v>0</v>
      </c>
    </row>
    <row r="117" spans="1:23" ht="14.25" customHeight="1" x14ac:dyDescent="0.25">
      <c r="A117" s="824" t="s">
        <v>1261</v>
      </c>
      <c r="B117" s="53" t="s">
        <v>259</v>
      </c>
      <c r="C117" s="53" t="s">
        <v>274</v>
      </c>
      <c r="D117" s="53" t="s">
        <v>37</v>
      </c>
      <c r="E117" s="823">
        <f t="shared" si="9"/>
        <v>3000</v>
      </c>
      <c r="F117" s="823">
        <f t="shared" si="9"/>
        <v>3000</v>
      </c>
      <c r="G117" s="823">
        <f t="shared" si="9"/>
        <v>3000</v>
      </c>
      <c r="I117" s="56"/>
      <c r="R117" s="54"/>
      <c r="S117" s="54"/>
      <c r="T117" s="54"/>
      <c r="U117" s="54">
        <f t="shared" si="3"/>
        <v>3000</v>
      </c>
      <c r="V117" s="54">
        <f t="shared" si="4"/>
        <v>3000</v>
      </c>
      <c r="W117" s="54">
        <f t="shared" si="5"/>
        <v>3000</v>
      </c>
    </row>
    <row r="118" spans="1:23" ht="14.25" hidden="1" customHeight="1" x14ac:dyDescent="0.25">
      <c r="A118" s="52" t="s">
        <v>412</v>
      </c>
      <c r="B118" s="53" t="s">
        <v>259</v>
      </c>
      <c r="C118" s="53" t="s">
        <v>274</v>
      </c>
      <c r="D118" s="53" t="s">
        <v>37</v>
      </c>
      <c r="E118" s="54">
        <f t="shared" si="9"/>
        <v>0</v>
      </c>
      <c r="F118" s="54">
        <f t="shared" si="9"/>
        <v>0</v>
      </c>
      <c r="G118" s="54">
        <f t="shared" si="9"/>
        <v>0</v>
      </c>
      <c r="I118" s="56"/>
      <c r="R118" s="54"/>
      <c r="S118" s="54"/>
      <c r="T118" s="54"/>
      <c r="U118" s="54">
        <f t="shared" si="3"/>
        <v>0</v>
      </c>
      <c r="V118" s="54">
        <f t="shared" si="4"/>
        <v>0</v>
      </c>
      <c r="W118" s="54">
        <f t="shared" si="5"/>
        <v>0</v>
      </c>
    </row>
    <row r="119" spans="1:23" s="45" customFormat="1" ht="18" customHeight="1" x14ac:dyDescent="0.25">
      <c r="A119" s="59" t="s">
        <v>292</v>
      </c>
      <c r="B119" s="60" t="s">
        <v>259</v>
      </c>
      <c r="C119" s="60" t="s">
        <v>252</v>
      </c>
      <c r="D119" s="104" t="s">
        <v>37</v>
      </c>
      <c r="E119" s="833">
        <f>SUM(E120:E135)+80000</f>
        <v>220206.3</v>
      </c>
      <c r="F119" s="62">
        <f>SUM(F120:F135)</f>
        <v>108244</v>
      </c>
      <c r="G119" s="62">
        <f>SUM(G120:G135)</f>
        <v>108244</v>
      </c>
      <c r="H119" s="63"/>
      <c r="I119" s="63"/>
      <c r="R119" s="62"/>
      <c r="S119" s="62"/>
      <c r="T119" s="62"/>
      <c r="U119" s="62">
        <f t="shared" si="3"/>
        <v>220206.3</v>
      </c>
      <c r="V119" s="62">
        <f t="shared" si="4"/>
        <v>108244</v>
      </c>
      <c r="W119" s="62">
        <f t="shared" si="5"/>
        <v>108244</v>
      </c>
    </row>
    <row r="120" spans="1:23" s="58" customFormat="1" hidden="1" x14ac:dyDescent="0.25">
      <c r="A120" s="52" t="s">
        <v>839</v>
      </c>
      <c r="B120" s="53" t="s">
        <v>259</v>
      </c>
      <c r="C120" s="53" t="s">
        <v>252</v>
      </c>
      <c r="D120" s="53" t="s">
        <v>37</v>
      </c>
      <c r="E120" s="54">
        <f t="shared" ref="E120:G143" si="10">SUM(E1020,E210,E300,E390,E840,E480,E570,E930,E660,E750)</f>
        <v>0</v>
      </c>
      <c r="F120" s="54">
        <f t="shared" si="10"/>
        <v>0</v>
      </c>
      <c r="G120" s="54">
        <f t="shared" si="10"/>
        <v>0</v>
      </c>
      <c r="H120" s="49"/>
      <c r="I120" s="56"/>
      <c r="R120" s="54"/>
      <c r="S120" s="54"/>
      <c r="T120" s="54"/>
      <c r="U120" s="54">
        <f t="shared" si="3"/>
        <v>0</v>
      </c>
      <c r="V120" s="54">
        <f t="shared" si="4"/>
        <v>0</v>
      </c>
      <c r="W120" s="54">
        <f t="shared" si="5"/>
        <v>0</v>
      </c>
    </row>
    <row r="121" spans="1:23" s="58" customFormat="1" ht="27.6" hidden="1" x14ac:dyDescent="0.25">
      <c r="A121" s="52" t="s">
        <v>833</v>
      </c>
      <c r="B121" s="53" t="s">
        <v>259</v>
      </c>
      <c r="C121" s="53" t="s">
        <v>252</v>
      </c>
      <c r="D121" s="53" t="s">
        <v>37</v>
      </c>
      <c r="E121" s="54">
        <f t="shared" si="10"/>
        <v>0</v>
      </c>
      <c r="F121" s="54">
        <f t="shared" si="10"/>
        <v>0</v>
      </c>
      <c r="G121" s="54">
        <f t="shared" si="10"/>
        <v>0</v>
      </c>
      <c r="H121" s="49"/>
      <c r="I121" s="56"/>
      <c r="R121" s="54"/>
      <c r="S121" s="54"/>
      <c r="T121" s="54"/>
      <c r="U121" s="54">
        <f t="shared" si="3"/>
        <v>0</v>
      </c>
      <c r="V121" s="54">
        <f t="shared" si="4"/>
        <v>0</v>
      </c>
      <c r="W121" s="54">
        <f t="shared" si="5"/>
        <v>0</v>
      </c>
    </row>
    <row r="122" spans="1:23" s="58" customFormat="1" hidden="1" x14ac:dyDescent="0.25">
      <c r="A122" s="52" t="s">
        <v>390</v>
      </c>
      <c r="B122" s="53" t="s">
        <v>259</v>
      </c>
      <c r="C122" s="53" t="s">
        <v>252</v>
      </c>
      <c r="D122" s="53" t="s">
        <v>37</v>
      </c>
      <c r="E122" s="54">
        <f t="shared" si="10"/>
        <v>0</v>
      </c>
      <c r="F122" s="54">
        <f t="shared" si="10"/>
        <v>0</v>
      </c>
      <c r="G122" s="54">
        <f t="shared" si="10"/>
        <v>0</v>
      </c>
      <c r="H122" s="49"/>
      <c r="I122" s="56"/>
      <c r="R122" s="54"/>
      <c r="S122" s="54"/>
      <c r="T122" s="54"/>
      <c r="U122" s="54">
        <f t="shared" si="3"/>
        <v>0</v>
      </c>
      <c r="V122" s="54">
        <f t="shared" si="4"/>
        <v>0</v>
      </c>
      <c r="W122" s="54">
        <f t="shared" si="5"/>
        <v>0</v>
      </c>
    </row>
    <row r="123" spans="1:23" s="831" customFormat="1" x14ac:dyDescent="0.25">
      <c r="A123" s="52" t="s">
        <v>1276</v>
      </c>
      <c r="B123" s="53" t="s">
        <v>259</v>
      </c>
      <c r="C123" s="53" t="s">
        <v>252</v>
      </c>
      <c r="D123" s="53" t="s">
        <v>37</v>
      </c>
      <c r="E123" s="54">
        <f t="shared" si="10"/>
        <v>7200</v>
      </c>
      <c r="F123" s="54">
        <f t="shared" si="10"/>
        <v>0</v>
      </c>
      <c r="G123" s="54">
        <f t="shared" si="10"/>
        <v>0</v>
      </c>
      <c r="H123" s="47"/>
      <c r="I123" s="48"/>
      <c r="R123" s="54"/>
      <c r="S123" s="54"/>
      <c r="T123" s="54"/>
      <c r="U123" s="54">
        <f t="shared" si="3"/>
        <v>7200</v>
      </c>
      <c r="V123" s="54">
        <f t="shared" si="4"/>
        <v>0</v>
      </c>
      <c r="W123" s="54">
        <f t="shared" si="5"/>
        <v>0</v>
      </c>
    </row>
    <row r="124" spans="1:23" s="58" customFormat="1" ht="27.6" hidden="1" x14ac:dyDescent="0.25">
      <c r="A124" s="52" t="s">
        <v>832</v>
      </c>
      <c r="B124" s="53" t="s">
        <v>259</v>
      </c>
      <c r="C124" s="53" t="s">
        <v>252</v>
      </c>
      <c r="D124" s="53" t="s">
        <v>37</v>
      </c>
      <c r="E124" s="54">
        <f t="shared" si="10"/>
        <v>0</v>
      </c>
      <c r="F124" s="54">
        <f t="shared" si="10"/>
        <v>0</v>
      </c>
      <c r="G124" s="54">
        <f t="shared" si="10"/>
        <v>0</v>
      </c>
      <c r="H124" s="49"/>
      <c r="I124" s="56"/>
      <c r="R124" s="54"/>
      <c r="S124" s="54"/>
      <c r="T124" s="54"/>
      <c r="U124" s="54">
        <f t="shared" si="3"/>
        <v>0</v>
      </c>
      <c r="V124" s="54">
        <f t="shared" si="4"/>
        <v>0</v>
      </c>
      <c r="W124" s="54">
        <f t="shared" si="5"/>
        <v>0</v>
      </c>
    </row>
    <row r="125" spans="1:23" s="58" customFormat="1" ht="15" customHeight="1" x14ac:dyDescent="0.25">
      <c r="A125" s="52" t="s">
        <v>1171</v>
      </c>
      <c r="B125" s="53" t="s">
        <v>259</v>
      </c>
      <c r="C125" s="53" t="s">
        <v>252</v>
      </c>
      <c r="D125" s="53" t="s">
        <v>37</v>
      </c>
      <c r="E125" s="54">
        <f t="shared" si="10"/>
        <v>41329.279999999999</v>
      </c>
      <c r="F125" s="54">
        <f t="shared" si="10"/>
        <v>33860</v>
      </c>
      <c r="G125" s="54">
        <f t="shared" si="10"/>
        <v>33860</v>
      </c>
      <c r="H125" s="49"/>
      <c r="I125" s="56"/>
      <c r="R125" s="54"/>
      <c r="S125" s="54"/>
      <c r="T125" s="54"/>
      <c r="U125" s="54">
        <f t="shared" si="3"/>
        <v>41329.279999999999</v>
      </c>
      <c r="V125" s="54">
        <f t="shared" si="4"/>
        <v>33860</v>
      </c>
      <c r="W125" s="54">
        <f t="shared" si="5"/>
        <v>33860</v>
      </c>
    </row>
    <row r="126" spans="1:23" s="58" customFormat="1" x14ac:dyDescent="0.25">
      <c r="A126" s="52" t="s">
        <v>1172</v>
      </c>
      <c r="B126" s="53" t="s">
        <v>259</v>
      </c>
      <c r="C126" s="53" t="s">
        <v>252</v>
      </c>
      <c r="D126" s="53" t="s">
        <v>37</v>
      </c>
      <c r="E126" s="54">
        <f t="shared" si="10"/>
        <v>59126.02</v>
      </c>
      <c r="F126" s="54">
        <f t="shared" si="10"/>
        <v>64384</v>
      </c>
      <c r="G126" s="54">
        <f t="shared" si="10"/>
        <v>64384</v>
      </c>
      <c r="H126" s="49"/>
      <c r="I126" s="56"/>
      <c r="R126" s="54"/>
      <c r="S126" s="54"/>
      <c r="T126" s="54"/>
      <c r="U126" s="54">
        <f t="shared" si="3"/>
        <v>59126.02</v>
      </c>
      <c r="V126" s="54">
        <f t="shared" si="4"/>
        <v>64384</v>
      </c>
      <c r="W126" s="54">
        <f t="shared" si="5"/>
        <v>64384</v>
      </c>
    </row>
    <row r="127" spans="1:23" s="58" customFormat="1" x14ac:dyDescent="0.25">
      <c r="A127" s="824" t="s">
        <v>1265</v>
      </c>
      <c r="B127" s="53" t="s">
        <v>259</v>
      </c>
      <c r="C127" s="53" t="s">
        <v>252</v>
      </c>
      <c r="D127" s="53" t="s">
        <v>37</v>
      </c>
      <c r="E127" s="823">
        <f t="shared" si="10"/>
        <v>13600</v>
      </c>
      <c r="F127" s="823">
        <f t="shared" si="10"/>
        <v>10000</v>
      </c>
      <c r="G127" s="823">
        <f t="shared" si="10"/>
        <v>10000</v>
      </c>
      <c r="H127" s="49"/>
      <c r="I127" s="56"/>
      <c r="R127" s="54"/>
      <c r="S127" s="54"/>
      <c r="T127" s="54"/>
      <c r="U127" s="54">
        <f t="shared" si="3"/>
        <v>13600</v>
      </c>
      <c r="V127" s="54">
        <f t="shared" si="4"/>
        <v>10000</v>
      </c>
      <c r="W127" s="54">
        <f t="shared" si="5"/>
        <v>10000</v>
      </c>
    </row>
    <row r="128" spans="1:23" s="47" customFormat="1" ht="14.25" customHeight="1" x14ac:dyDescent="0.25">
      <c r="A128" s="52" t="s">
        <v>1271</v>
      </c>
      <c r="B128" s="53" t="s">
        <v>259</v>
      </c>
      <c r="C128" s="53" t="s">
        <v>252</v>
      </c>
      <c r="D128" s="53" t="s">
        <v>37</v>
      </c>
      <c r="E128" s="54">
        <f t="shared" si="10"/>
        <v>3951</v>
      </c>
      <c r="F128" s="54">
        <f t="shared" si="10"/>
        <v>0</v>
      </c>
      <c r="G128" s="54">
        <f t="shared" si="10"/>
        <v>0</v>
      </c>
      <c r="I128" s="48"/>
      <c r="R128" s="54"/>
      <c r="S128" s="54"/>
      <c r="T128" s="54"/>
      <c r="U128" s="54">
        <f t="shared" si="3"/>
        <v>3951</v>
      </c>
      <c r="V128" s="54">
        <f t="shared" si="4"/>
        <v>0</v>
      </c>
      <c r="W128" s="54">
        <f t="shared" si="5"/>
        <v>0</v>
      </c>
    </row>
    <row r="129" spans="1:23" s="47" customFormat="1" ht="14.25" customHeight="1" x14ac:dyDescent="0.25">
      <c r="A129" s="52" t="s">
        <v>1275</v>
      </c>
      <c r="B129" s="53" t="s">
        <v>259</v>
      </c>
      <c r="C129" s="53" t="s">
        <v>252</v>
      </c>
      <c r="D129" s="53" t="s">
        <v>37</v>
      </c>
      <c r="E129" s="54">
        <f t="shared" si="10"/>
        <v>15000</v>
      </c>
      <c r="F129" s="54">
        <f t="shared" si="10"/>
        <v>0</v>
      </c>
      <c r="G129" s="54">
        <f t="shared" si="10"/>
        <v>0</v>
      </c>
      <c r="I129" s="48"/>
      <c r="R129" s="54"/>
      <c r="S129" s="54"/>
      <c r="T129" s="54"/>
      <c r="U129" s="54">
        <f t="shared" si="3"/>
        <v>15000</v>
      </c>
      <c r="V129" s="54">
        <f t="shared" si="4"/>
        <v>0</v>
      </c>
      <c r="W129" s="54">
        <f t="shared" si="5"/>
        <v>0</v>
      </c>
    </row>
    <row r="130" spans="1:23" ht="27.6" hidden="1" x14ac:dyDescent="0.25">
      <c r="A130" s="52" t="s">
        <v>367</v>
      </c>
      <c r="B130" s="53" t="s">
        <v>259</v>
      </c>
      <c r="C130" s="53" t="s">
        <v>252</v>
      </c>
      <c r="D130" s="53" t="s">
        <v>37</v>
      </c>
      <c r="E130" s="54">
        <f t="shared" si="10"/>
        <v>0</v>
      </c>
      <c r="F130" s="54">
        <f t="shared" si="10"/>
        <v>0</v>
      </c>
      <c r="G130" s="54">
        <f t="shared" si="10"/>
        <v>0</v>
      </c>
      <c r="I130" s="56"/>
      <c r="R130" s="54"/>
      <c r="S130" s="54"/>
      <c r="T130" s="54"/>
      <c r="U130" s="54">
        <f t="shared" si="3"/>
        <v>0</v>
      </c>
      <c r="V130" s="54">
        <f t="shared" si="4"/>
        <v>0</v>
      </c>
      <c r="W130" s="54">
        <f t="shared" si="5"/>
        <v>0</v>
      </c>
    </row>
    <row r="131" spans="1:23" ht="14.25" hidden="1" customHeight="1" x14ac:dyDescent="0.25">
      <c r="A131" s="70" t="s">
        <v>819</v>
      </c>
      <c r="B131" s="53" t="s">
        <v>259</v>
      </c>
      <c r="C131" s="53" t="s">
        <v>252</v>
      </c>
      <c r="D131" s="53" t="s">
        <v>37</v>
      </c>
      <c r="E131" s="54">
        <f t="shared" si="10"/>
        <v>0</v>
      </c>
      <c r="F131" s="54">
        <f t="shared" si="10"/>
        <v>0</v>
      </c>
      <c r="G131" s="54">
        <f t="shared" si="10"/>
        <v>0</v>
      </c>
      <c r="I131" s="56"/>
      <c r="R131" s="54"/>
      <c r="S131" s="54"/>
      <c r="T131" s="54"/>
      <c r="U131" s="54">
        <f t="shared" si="3"/>
        <v>0</v>
      </c>
      <c r="V131" s="54">
        <f t="shared" si="4"/>
        <v>0</v>
      </c>
      <c r="W131" s="54">
        <f t="shared" si="5"/>
        <v>0</v>
      </c>
    </row>
    <row r="132" spans="1:23" ht="14.25" hidden="1" customHeight="1" x14ac:dyDescent="0.25">
      <c r="A132" s="52" t="s">
        <v>368</v>
      </c>
      <c r="B132" s="53" t="s">
        <v>259</v>
      </c>
      <c r="C132" s="53" t="s">
        <v>252</v>
      </c>
      <c r="D132" s="570" t="s">
        <v>268</v>
      </c>
      <c r="E132" s="54">
        <f t="shared" si="10"/>
        <v>0</v>
      </c>
      <c r="F132" s="54">
        <f t="shared" si="10"/>
        <v>0</v>
      </c>
      <c r="G132" s="54">
        <f t="shared" si="10"/>
        <v>0</v>
      </c>
      <c r="I132" s="56"/>
      <c r="R132" s="54"/>
      <c r="S132" s="54"/>
      <c r="T132" s="54"/>
      <c r="U132" s="54">
        <f t="shared" si="3"/>
        <v>0</v>
      </c>
      <c r="V132" s="54">
        <f t="shared" si="4"/>
        <v>0</v>
      </c>
      <c r="W132" s="54">
        <f t="shared" si="5"/>
        <v>0</v>
      </c>
    </row>
    <row r="133" spans="1:23" ht="14.25" hidden="1" customHeight="1" x14ac:dyDescent="0.25">
      <c r="A133" s="69" t="s">
        <v>387</v>
      </c>
      <c r="B133" s="53" t="s">
        <v>259</v>
      </c>
      <c r="C133" s="53" t="s">
        <v>252</v>
      </c>
      <c r="D133" s="53" t="s">
        <v>37</v>
      </c>
      <c r="E133" s="54">
        <f t="shared" si="10"/>
        <v>0</v>
      </c>
      <c r="F133" s="54">
        <f t="shared" si="10"/>
        <v>0</v>
      </c>
      <c r="G133" s="54">
        <f t="shared" si="10"/>
        <v>0</v>
      </c>
      <c r="I133" s="56"/>
      <c r="R133" s="54"/>
      <c r="S133" s="54"/>
      <c r="T133" s="54"/>
      <c r="U133" s="54">
        <f t="shared" si="3"/>
        <v>0</v>
      </c>
      <c r="V133" s="54">
        <f t="shared" si="4"/>
        <v>0</v>
      </c>
      <c r="W133" s="54">
        <f t="shared" si="5"/>
        <v>0</v>
      </c>
    </row>
    <row r="134" spans="1:23" ht="14.25" hidden="1" customHeight="1" x14ac:dyDescent="0.25">
      <c r="A134" s="52" t="s">
        <v>380</v>
      </c>
      <c r="B134" s="53" t="s">
        <v>259</v>
      </c>
      <c r="C134" s="53" t="s">
        <v>252</v>
      </c>
      <c r="D134" s="53" t="s">
        <v>37</v>
      </c>
      <c r="E134" s="54">
        <f t="shared" si="10"/>
        <v>0</v>
      </c>
      <c r="F134" s="54">
        <f t="shared" si="10"/>
        <v>0</v>
      </c>
      <c r="G134" s="54">
        <f t="shared" si="10"/>
        <v>0</v>
      </c>
      <c r="I134" s="56"/>
      <c r="R134" s="54"/>
      <c r="S134" s="54"/>
      <c r="T134" s="54"/>
      <c r="U134" s="54">
        <f t="shared" si="3"/>
        <v>0</v>
      </c>
      <c r="V134" s="54">
        <f t="shared" si="4"/>
        <v>0</v>
      </c>
      <c r="W134" s="54">
        <f t="shared" si="5"/>
        <v>0</v>
      </c>
    </row>
    <row r="135" spans="1:23" ht="14.25" hidden="1" customHeight="1" x14ac:dyDescent="0.25">
      <c r="A135" s="52" t="s">
        <v>300</v>
      </c>
      <c r="B135" s="53" t="s">
        <v>259</v>
      </c>
      <c r="C135" s="53" t="s">
        <v>252</v>
      </c>
      <c r="D135" s="53" t="s">
        <v>37</v>
      </c>
      <c r="E135" s="54">
        <f t="shared" si="10"/>
        <v>0</v>
      </c>
      <c r="F135" s="54">
        <f t="shared" si="10"/>
        <v>0</v>
      </c>
      <c r="G135" s="54">
        <f t="shared" si="10"/>
        <v>0</v>
      </c>
      <c r="I135" s="56"/>
      <c r="R135" s="54"/>
      <c r="S135" s="54"/>
      <c r="T135" s="54"/>
      <c r="U135" s="54">
        <f t="shared" si="3"/>
        <v>0</v>
      </c>
      <c r="V135" s="54">
        <f t="shared" si="4"/>
        <v>0</v>
      </c>
      <c r="W135" s="54">
        <f t="shared" si="5"/>
        <v>0</v>
      </c>
    </row>
    <row r="136" spans="1:23" ht="14.25" hidden="1" customHeight="1" x14ac:dyDescent="0.25">
      <c r="A136" s="52" t="s">
        <v>820</v>
      </c>
      <c r="B136" s="53" t="s">
        <v>259</v>
      </c>
      <c r="C136" s="53" t="s">
        <v>788</v>
      </c>
      <c r="D136" s="53" t="s">
        <v>37</v>
      </c>
      <c r="E136" s="54">
        <f t="shared" si="10"/>
        <v>0</v>
      </c>
      <c r="F136" s="54">
        <f t="shared" si="10"/>
        <v>0</v>
      </c>
      <c r="G136" s="54">
        <f t="shared" si="10"/>
        <v>0</v>
      </c>
      <c r="I136" s="56"/>
      <c r="R136" s="54"/>
      <c r="S136" s="54"/>
      <c r="T136" s="54"/>
      <c r="U136" s="54">
        <f t="shared" si="3"/>
        <v>0</v>
      </c>
      <c r="V136" s="54">
        <f t="shared" si="4"/>
        <v>0</v>
      </c>
      <c r="W136" s="54">
        <f t="shared" si="5"/>
        <v>0</v>
      </c>
    </row>
    <row r="137" spans="1:23" ht="27.6" hidden="1" x14ac:dyDescent="0.25">
      <c r="A137" s="59" t="s">
        <v>772</v>
      </c>
      <c r="B137" s="60" t="s">
        <v>302</v>
      </c>
      <c r="C137" s="60" t="s">
        <v>303</v>
      </c>
      <c r="D137" s="60" t="s">
        <v>37</v>
      </c>
      <c r="E137" s="61">
        <f t="shared" si="10"/>
        <v>0</v>
      </c>
      <c r="F137" s="61">
        <f t="shared" si="10"/>
        <v>0</v>
      </c>
      <c r="G137" s="61">
        <f t="shared" si="10"/>
        <v>0</v>
      </c>
      <c r="I137" s="56"/>
      <c r="R137" s="61"/>
      <c r="S137" s="61"/>
      <c r="T137" s="61"/>
      <c r="U137" s="61">
        <f t="shared" si="3"/>
        <v>0</v>
      </c>
      <c r="V137" s="61">
        <f t="shared" si="4"/>
        <v>0</v>
      </c>
      <c r="W137" s="61">
        <f t="shared" si="5"/>
        <v>0</v>
      </c>
    </row>
    <row r="138" spans="1:23" ht="14.25" hidden="1" customHeight="1" x14ac:dyDescent="0.25">
      <c r="A138" s="59" t="s">
        <v>369</v>
      </c>
      <c r="B138" s="60" t="s">
        <v>302</v>
      </c>
      <c r="C138" s="60" t="s">
        <v>370</v>
      </c>
      <c r="D138" s="60" t="s">
        <v>37</v>
      </c>
      <c r="E138" s="61">
        <f t="shared" si="10"/>
        <v>0</v>
      </c>
      <c r="F138" s="61">
        <f t="shared" si="10"/>
        <v>0</v>
      </c>
      <c r="G138" s="61">
        <f t="shared" si="10"/>
        <v>0</v>
      </c>
      <c r="I138" s="56"/>
      <c r="R138" s="61"/>
      <c r="S138" s="61"/>
      <c r="T138" s="61"/>
      <c r="U138" s="61">
        <f t="shared" si="3"/>
        <v>0</v>
      </c>
      <c r="V138" s="61">
        <f t="shared" si="4"/>
        <v>0</v>
      </c>
      <c r="W138" s="61">
        <f t="shared" si="5"/>
        <v>0</v>
      </c>
    </row>
    <row r="139" spans="1:23" s="58" customFormat="1" hidden="1" x14ac:dyDescent="0.25">
      <c r="A139" s="52" t="s">
        <v>304</v>
      </c>
      <c r="B139" s="53" t="s">
        <v>306</v>
      </c>
      <c r="C139" s="53" t="s">
        <v>307</v>
      </c>
      <c r="D139" s="53" t="s">
        <v>37</v>
      </c>
      <c r="E139" s="54">
        <f t="shared" si="10"/>
        <v>0</v>
      </c>
      <c r="F139" s="54">
        <f t="shared" si="10"/>
        <v>0</v>
      </c>
      <c r="G139" s="54">
        <f t="shared" si="10"/>
        <v>0</v>
      </c>
      <c r="H139" s="57"/>
      <c r="I139" s="57"/>
      <c r="R139" s="54"/>
      <c r="S139" s="54"/>
      <c r="T139" s="54"/>
      <c r="U139" s="54">
        <f t="shared" si="3"/>
        <v>0</v>
      </c>
      <c r="V139" s="54">
        <f t="shared" si="4"/>
        <v>0</v>
      </c>
      <c r="W139" s="54">
        <f t="shared" si="5"/>
        <v>0</v>
      </c>
    </row>
    <row r="140" spans="1:23" s="58" customFormat="1" ht="41.4" hidden="1" x14ac:dyDescent="0.25">
      <c r="A140" s="52" t="s">
        <v>308</v>
      </c>
      <c r="B140" s="53" t="s">
        <v>309</v>
      </c>
      <c r="C140" s="53" t="s">
        <v>891</v>
      </c>
      <c r="D140" s="53" t="s">
        <v>37</v>
      </c>
      <c r="E140" s="54">
        <f t="shared" si="10"/>
        <v>3000</v>
      </c>
      <c r="F140" s="54">
        <f t="shared" si="10"/>
        <v>0</v>
      </c>
      <c r="G140" s="54">
        <f t="shared" si="10"/>
        <v>0</v>
      </c>
      <c r="I140" s="57"/>
      <c r="R140" s="54"/>
      <c r="S140" s="54"/>
      <c r="T140" s="54"/>
      <c r="U140" s="54">
        <f t="shared" si="3"/>
        <v>3000</v>
      </c>
      <c r="V140" s="54">
        <f t="shared" si="4"/>
        <v>0</v>
      </c>
      <c r="W140" s="54">
        <f t="shared" si="5"/>
        <v>0</v>
      </c>
    </row>
    <row r="141" spans="1:23" ht="15" hidden="1" customHeight="1" x14ac:dyDescent="0.25">
      <c r="A141" s="52" t="s">
        <v>310</v>
      </c>
      <c r="B141" s="53" t="s">
        <v>312</v>
      </c>
      <c r="C141" s="53" t="s">
        <v>307</v>
      </c>
      <c r="D141" s="53" t="s">
        <v>37</v>
      </c>
      <c r="E141" s="54">
        <f t="shared" si="10"/>
        <v>1771</v>
      </c>
      <c r="F141" s="54">
        <f t="shared" si="10"/>
        <v>0</v>
      </c>
      <c r="G141" s="54">
        <f t="shared" si="10"/>
        <v>0</v>
      </c>
      <c r="H141" s="56"/>
      <c r="I141" s="56"/>
      <c r="R141" s="54"/>
      <c r="S141" s="54"/>
      <c r="T141" s="54"/>
      <c r="U141" s="54">
        <f t="shared" ref="U141:U204" si="11">E141-R141</f>
        <v>1771</v>
      </c>
      <c r="V141" s="54">
        <f t="shared" ref="V141:V204" si="12">F141-S141</f>
        <v>0</v>
      </c>
      <c r="W141" s="54">
        <f t="shared" ref="W141:W204" si="13">G141-T141</f>
        <v>0</v>
      </c>
    </row>
    <row r="142" spans="1:23" ht="27.6" hidden="1" x14ac:dyDescent="0.25">
      <c r="A142" s="52" t="s">
        <v>1175</v>
      </c>
      <c r="B142" s="53" t="s">
        <v>432</v>
      </c>
      <c r="C142" s="53" t="s">
        <v>370</v>
      </c>
      <c r="D142" s="53" t="s">
        <v>37</v>
      </c>
      <c r="E142" s="54">
        <f t="shared" si="10"/>
        <v>0</v>
      </c>
      <c r="F142" s="54">
        <f t="shared" si="10"/>
        <v>0</v>
      </c>
      <c r="G142" s="54">
        <f t="shared" si="10"/>
        <v>0</v>
      </c>
      <c r="H142" s="56"/>
      <c r="I142" s="56"/>
      <c r="R142" s="54"/>
      <c r="S142" s="54"/>
      <c r="T142" s="54"/>
      <c r="U142" s="54">
        <f t="shared" si="11"/>
        <v>0</v>
      </c>
      <c r="V142" s="54">
        <f t="shared" si="12"/>
        <v>0</v>
      </c>
      <c r="W142" s="54">
        <f t="shared" si="13"/>
        <v>0</v>
      </c>
    </row>
    <row r="143" spans="1:23" ht="27.6" hidden="1" x14ac:dyDescent="0.25">
      <c r="A143" s="59" t="s">
        <v>836</v>
      </c>
      <c r="B143" s="60" t="s">
        <v>835</v>
      </c>
      <c r="C143" s="60" t="s">
        <v>252</v>
      </c>
      <c r="D143" s="60" t="s">
        <v>37</v>
      </c>
      <c r="E143" s="61">
        <f t="shared" si="10"/>
        <v>0</v>
      </c>
      <c r="F143" s="61">
        <f t="shared" si="10"/>
        <v>0</v>
      </c>
      <c r="G143" s="61">
        <f t="shared" si="10"/>
        <v>0</v>
      </c>
      <c r="I143" s="56"/>
      <c r="R143" s="61"/>
      <c r="S143" s="61"/>
      <c r="T143" s="61"/>
      <c r="U143" s="61">
        <f t="shared" si="11"/>
        <v>0</v>
      </c>
      <c r="V143" s="61">
        <f t="shared" si="12"/>
        <v>0</v>
      </c>
      <c r="W143" s="61">
        <f t="shared" si="13"/>
        <v>0</v>
      </c>
    </row>
    <row r="144" spans="1:23" s="118" customFormat="1" x14ac:dyDescent="0.25">
      <c r="A144" s="115" t="s">
        <v>314</v>
      </c>
      <c r="B144" s="116" t="s">
        <v>259</v>
      </c>
      <c r="C144" s="60" t="s">
        <v>315</v>
      </c>
      <c r="D144" s="60" t="s">
        <v>37</v>
      </c>
      <c r="E144" s="61">
        <f>SUM(E145:E153)-184.12</f>
        <v>139935.60999999999</v>
      </c>
      <c r="F144" s="61">
        <f t="shared" ref="F144:G153" si="14">SUM(F1044,F234,F324,F414,F864,F504,F594,F954,F684,F774)</f>
        <v>206637</v>
      </c>
      <c r="G144" s="61">
        <f t="shared" si="14"/>
        <v>206637</v>
      </c>
      <c r="H144" s="117"/>
      <c r="I144" s="117"/>
      <c r="R144" s="61"/>
      <c r="S144" s="61"/>
      <c r="T144" s="61"/>
      <c r="U144" s="61">
        <f t="shared" si="11"/>
        <v>139935.60999999999</v>
      </c>
      <c r="V144" s="61">
        <f t="shared" si="12"/>
        <v>206637</v>
      </c>
      <c r="W144" s="61">
        <f t="shared" si="13"/>
        <v>206637</v>
      </c>
    </row>
    <row r="145" spans="1:23" s="58" customFormat="1" x14ac:dyDescent="0.25">
      <c r="A145" s="64" t="s">
        <v>383</v>
      </c>
      <c r="B145" s="65" t="s">
        <v>259</v>
      </c>
      <c r="C145" s="53" t="s">
        <v>315</v>
      </c>
      <c r="D145" s="571" t="s">
        <v>268</v>
      </c>
      <c r="E145" s="120">
        <f t="shared" ref="E145:E153" si="15">SUM(E1045,E235,E325,E415,E865,E505,E595,E955,E685,E775)</f>
        <v>25000</v>
      </c>
      <c r="F145" s="120">
        <f t="shared" si="14"/>
        <v>25000</v>
      </c>
      <c r="G145" s="120">
        <f t="shared" si="14"/>
        <v>25000</v>
      </c>
      <c r="H145" s="57"/>
      <c r="I145" s="57"/>
      <c r="R145" s="120"/>
      <c r="S145" s="120"/>
      <c r="T145" s="120"/>
      <c r="U145" s="120">
        <f t="shared" si="11"/>
        <v>25000</v>
      </c>
      <c r="V145" s="120">
        <f t="shared" si="12"/>
        <v>25000</v>
      </c>
      <c r="W145" s="120">
        <f t="shared" si="13"/>
        <v>25000</v>
      </c>
    </row>
    <row r="146" spans="1:23" s="58" customFormat="1" hidden="1" x14ac:dyDescent="0.25">
      <c r="A146" s="64" t="s">
        <v>381</v>
      </c>
      <c r="B146" s="65" t="s">
        <v>259</v>
      </c>
      <c r="C146" s="53" t="s">
        <v>315</v>
      </c>
      <c r="D146" s="571" t="s">
        <v>268</v>
      </c>
      <c r="E146" s="120">
        <f t="shared" si="15"/>
        <v>0</v>
      </c>
      <c r="F146" s="120">
        <f t="shared" si="14"/>
        <v>0</v>
      </c>
      <c r="G146" s="120">
        <f t="shared" si="14"/>
        <v>0</v>
      </c>
      <c r="H146" s="57"/>
      <c r="I146" s="57"/>
      <c r="R146" s="120"/>
      <c r="S146" s="120"/>
      <c r="T146" s="120"/>
      <c r="U146" s="120">
        <f t="shared" si="11"/>
        <v>0</v>
      </c>
      <c r="V146" s="120">
        <f t="shared" si="12"/>
        <v>0</v>
      </c>
      <c r="W146" s="120">
        <f t="shared" si="13"/>
        <v>0</v>
      </c>
    </row>
    <row r="147" spans="1:23" s="58" customFormat="1" x14ac:dyDescent="0.25">
      <c r="A147" s="64" t="s">
        <v>382</v>
      </c>
      <c r="B147" s="65" t="s">
        <v>259</v>
      </c>
      <c r="C147" s="53" t="s">
        <v>315</v>
      </c>
      <c r="D147" s="571" t="s">
        <v>268</v>
      </c>
      <c r="E147" s="120">
        <f t="shared" si="15"/>
        <v>59531.73</v>
      </c>
      <c r="F147" s="120">
        <f t="shared" si="14"/>
        <v>126637</v>
      </c>
      <c r="G147" s="120">
        <f t="shared" si="14"/>
        <v>126637</v>
      </c>
      <c r="H147" s="57"/>
      <c r="I147" s="57"/>
      <c r="R147" s="120"/>
      <c r="S147" s="120"/>
      <c r="T147" s="120"/>
      <c r="U147" s="120">
        <f t="shared" si="11"/>
        <v>59531.73</v>
      </c>
      <c r="V147" s="120">
        <f t="shared" si="12"/>
        <v>126637</v>
      </c>
      <c r="W147" s="120">
        <f t="shared" si="13"/>
        <v>126637</v>
      </c>
    </row>
    <row r="148" spans="1:23" s="58" customFormat="1" x14ac:dyDescent="0.25">
      <c r="A148" s="64" t="s">
        <v>384</v>
      </c>
      <c r="B148" s="65" t="s">
        <v>259</v>
      </c>
      <c r="C148" s="53" t="s">
        <v>315</v>
      </c>
      <c r="D148" s="571" t="s">
        <v>268</v>
      </c>
      <c r="E148" s="120">
        <f t="shared" si="15"/>
        <v>25000</v>
      </c>
      <c r="F148" s="120">
        <f t="shared" si="14"/>
        <v>25000</v>
      </c>
      <c r="G148" s="120">
        <f t="shared" si="14"/>
        <v>25000</v>
      </c>
      <c r="H148" s="57"/>
      <c r="I148" s="57"/>
      <c r="R148" s="120"/>
      <c r="S148" s="120"/>
      <c r="T148" s="120"/>
      <c r="U148" s="120">
        <f t="shared" si="11"/>
        <v>25000</v>
      </c>
      <c r="V148" s="120">
        <f t="shared" si="12"/>
        <v>25000</v>
      </c>
      <c r="W148" s="120">
        <f t="shared" si="13"/>
        <v>25000</v>
      </c>
    </row>
    <row r="149" spans="1:23" s="58" customFormat="1" x14ac:dyDescent="0.25">
      <c r="A149" s="64" t="s">
        <v>385</v>
      </c>
      <c r="B149" s="65" t="s">
        <v>259</v>
      </c>
      <c r="C149" s="53" t="s">
        <v>315</v>
      </c>
      <c r="D149" s="119" t="s">
        <v>37</v>
      </c>
      <c r="E149" s="120">
        <f t="shared" si="15"/>
        <v>10588</v>
      </c>
      <c r="F149" s="120">
        <f t="shared" si="14"/>
        <v>10000</v>
      </c>
      <c r="G149" s="120">
        <f t="shared" si="14"/>
        <v>10000</v>
      </c>
      <c r="H149" s="57"/>
      <c r="I149" s="57"/>
      <c r="R149" s="120"/>
      <c r="S149" s="120"/>
      <c r="T149" s="120"/>
      <c r="U149" s="120">
        <f t="shared" si="11"/>
        <v>10588</v>
      </c>
      <c r="V149" s="120">
        <f t="shared" si="12"/>
        <v>10000</v>
      </c>
      <c r="W149" s="120">
        <f t="shared" si="13"/>
        <v>10000</v>
      </c>
    </row>
    <row r="150" spans="1:23" s="58" customFormat="1" hidden="1" x14ac:dyDescent="0.25">
      <c r="A150" s="64" t="s">
        <v>889</v>
      </c>
      <c r="B150" s="65" t="s">
        <v>259</v>
      </c>
      <c r="C150" s="53" t="s">
        <v>315</v>
      </c>
      <c r="D150" s="119" t="s">
        <v>37</v>
      </c>
      <c r="E150" s="120">
        <f t="shared" si="15"/>
        <v>0</v>
      </c>
      <c r="F150" s="120">
        <f t="shared" si="14"/>
        <v>0</v>
      </c>
      <c r="G150" s="120">
        <f t="shared" si="14"/>
        <v>0</v>
      </c>
      <c r="H150" s="57"/>
      <c r="I150" s="57"/>
      <c r="R150" s="120"/>
      <c r="S150" s="120"/>
      <c r="T150" s="120"/>
      <c r="U150" s="120">
        <f t="shared" si="11"/>
        <v>0</v>
      </c>
      <c r="V150" s="120">
        <f t="shared" si="12"/>
        <v>0</v>
      </c>
      <c r="W150" s="120">
        <f t="shared" si="13"/>
        <v>0</v>
      </c>
    </row>
    <row r="151" spans="1:23" s="58" customFormat="1" hidden="1" x14ac:dyDescent="0.25">
      <c r="A151" s="64" t="s">
        <v>388</v>
      </c>
      <c r="B151" s="65" t="s">
        <v>259</v>
      </c>
      <c r="C151" s="53" t="s">
        <v>315</v>
      </c>
      <c r="D151" s="119" t="s">
        <v>37</v>
      </c>
      <c r="E151" s="120">
        <f t="shared" si="15"/>
        <v>0</v>
      </c>
      <c r="F151" s="120">
        <f t="shared" si="14"/>
        <v>0</v>
      </c>
      <c r="G151" s="120">
        <f t="shared" si="14"/>
        <v>0</v>
      </c>
      <c r="H151" s="57"/>
      <c r="I151" s="57"/>
      <c r="R151" s="120"/>
      <c r="S151" s="120"/>
      <c r="T151" s="120"/>
      <c r="U151" s="120">
        <f t="shared" si="11"/>
        <v>0</v>
      </c>
      <c r="V151" s="120">
        <f t="shared" si="12"/>
        <v>0</v>
      </c>
      <c r="W151" s="120">
        <f t="shared" si="13"/>
        <v>0</v>
      </c>
    </row>
    <row r="152" spans="1:23" s="58" customFormat="1" x14ac:dyDescent="0.25">
      <c r="A152" s="64" t="s">
        <v>1242</v>
      </c>
      <c r="B152" s="65" t="s">
        <v>259</v>
      </c>
      <c r="C152" s="53" t="s">
        <v>315</v>
      </c>
      <c r="D152" s="119" t="s">
        <v>37</v>
      </c>
      <c r="E152" s="120">
        <f t="shared" si="15"/>
        <v>20000</v>
      </c>
      <c r="F152" s="120">
        <f t="shared" si="14"/>
        <v>20000</v>
      </c>
      <c r="G152" s="120">
        <f t="shared" si="14"/>
        <v>20000</v>
      </c>
      <c r="H152" s="57"/>
      <c r="I152" s="57"/>
      <c r="R152" s="120"/>
      <c r="S152" s="120"/>
      <c r="T152" s="120"/>
      <c r="U152" s="120">
        <f t="shared" si="11"/>
        <v>20000</v>
      </c>
      <c r="V152" s="120">
        <f t="shared" si="12"/>
        <v>20000</v>
      </c>
      <c r="W152" s="120">
        <f t="shared" si="13"/>
        <v>20000</v>
      </c>
    </row>
    <row r="153" spans="1:23" s="58" customFormat="1" hidden="1" x14ac:dyDescent="0.25">
      <c r="A153" s="64" t="s">
        <v>391</v>
      </c>
      <c r="B153" s="65" t="s">
        <v>259</v>
      </c>
      <c r="C153" s="53" t="s">
        <v>315</v>
      </c>
      <c r="D153" s="119" t="s">
        <v>37</v>
      </c>
      <c r="E153" s="120">
        <f t="shared" si="15"/>
        <v>0</v>
      </c>
      <c r="F153" s="120">
        <f t="shared" si="14"/>
        <v>0</v>
      </c>
      <c r="G153" s="120">
        <f t="shared" si="14"/>
        <v>0</v>
      </c>
      <c r="H153" s="57"/>
      <c r="I153" s="57"/>
      <c r="R153" s="120"/>
      <c r="S153" s="120"/>
      <c r="T153" s="120"/>
      <c r="U153" s="120">
        <f t="shared" si="11"/>
        <v>0</v>
      </c>
      <c r="V153" s="120">
        <f t="shared" si="12"/>
        <v>0</v>
      </c>
      <c r="W153" s="120">
        <f t="shared" si="13"/>
        <v>0</v>
      </c>
    </row>
    <row r="154" spans="1:23" s="45" customFormat="1" ht="27.6" x14ac:dyDescent="0.25">
      <c r="A154" s="59" t="s">
        <v>316</v>
      </c>
      <c r="B154" s="60" t="s">
        <v>259</v>
      </c>
      <c r="C154" s="60" t="s">
        <v>317</v>
      </c>
      <c r="D154" s="104" t="s">
        <v>37</v>
      </c>
      <c r="E154" s="62">
        <f>SUM(E155:E169)+109.22</f>
        <v>3751307.4</v>
      </c>
      <c r="F154" s="62">
        <f>SUM(F155:F169)</f>
        <v>3574877</v>
      </c>
      <c r="G154" s="62">
        <f>SUM(G155:G169)</f>
        <v>3574877</v>
      </c>
      <c r="H154" s="63"/>
      <c r="I154" s="63"/>
      <c r="R154" s="62"/>
      <c r="S154" s="62"/>
      <c r="T154" s="62"/>
      <c r="U154" s="62">
        <f t="shared" si="11"/>
        <v>3751307.4</v>
      </c>
      <c r="V154" s="62">
        <f t="shared" si="12"/>
        <v>3574877</v>
      </c>
      <c r="W154" s="62">
        <f t="shared" si="13"/>
        <v>3574877</v>
      </c>
    </row>
    <row r="155" spans="1:23" s="58" customFormat="1" ht="15" customHeight="1" x14ac:dyDescent="0.25">
      <c r="A155" s="64" t="s">
        <v>318</v>
      </c>
      <c r="B155" s="65" t="s">
        <v>259</v>
      </c>
      <c r="C155" s="53" t="s">
        <v>319</v>
      </c>
      <c r="D155" s="53" t="s">
        <v>37</v>
      </c>
      <c r="E155" s="54">
        <f t="shared" ref="E155:G169" si="16">SUM(E1055,E245,E335,E425,E875,E515,E605,E965,E695,E785)</f>
        <v>0</v>
      </c>
      <c r="F155" s="54">
        <f t="shared" si="16"/>
        <v>0</v>
      </c>
      <c r="G155" s="54">
        <f t="shared" si="16"/>
        <v>0</v>
      </c>
      <c r="H155" s="57"/>
      <c r="I155" s="57"/>
      <c r="R155" s="54"/>
      <c r="S155" s="54"/>
      <c r="T155" s="54"/>
      <c r="U155" s="54">
        <f t="shared" si="11"/>
        <v>0</v>
      </c>
      <c r="V155" s="54">
        <f t="shared" si="12"/>
        <v>0</v>
      </c>
      <c r="W155" s="54">
        <f t="shared" si="13"/>
        <v>0</v>
      </c>
    </row>
    <row r="156" spans="1:23" s="58" customFormat="1" x14ac:dyDescent="0.25">
      <c r="A156" s="64" t="s">
        <v>1147</v>
      </c>
      <c r="B156" s="65" t="s">
        <v>259</v>
      </c>
      <c r="C156" s="53" t="s">
        <v>1146</v>
      </c>
      <c r="D156" s="53" t="s">
        <v>37</v>
      </c>
      <c r="E156" s="54">
        <f t="shared" si="16"/>
        <v>3367300.44</v>
      </c>
      <c r="F156" s="54">
        <f t="shared" si="16"/>
        <v>3260675</v>
      </c>
      <c r="G156" s="54">
        <f t="shared" si="16"/>
        <v>3260675</v>
      </c>
      <c r="H156" s="57"/>
      <c r="I156" s="57"/>
      <c r="R156" s="54"/>
      <c r="S156" s="54"/>
      <c r="T156" s="54"/>
      <c r="U156" s="54">
        <f t="shared" si="11"/>
        <v>3367300.44</v>
      </c>
      <c r="V156" s="54">
        <f t="shared" si="12"/>
        <v>3260675</v>
      </c>
      <c r="W156" s="54">
        <f t="shared" si="13"/>
        <v>3260675</v>
      </c>
    </row>
    <row r="157" spans="1:23" s="58" customFormat="1" ht="15" hidden="1" customHeight="1" x14ac:dyDescent="0.25">
      <c r="A157" s="64" t="s">
        <v>321</v>
      </c>
      <c r="B157" s="65" t="s">
        <v>259</v>
      </c>
      <c r="C157" s="53" t="s">
        <v>320</v>
      </c>
      <c r="D157" s="570" t="s">
        <v>268</v>
      </c>
      <c r="E157" s="54">
        <f t="shared" si="16"/>
        <v>0</v>
      </c>
      <c r="F157" s="54">
        <f t="shared" si="16"/>
        <v>0</v>
      </c>
      <c r="G157" s="54">
        <f t="shared" si="16"/>
        <v>0</v>
      </c>
      <c r="H157" s="57"/>
      <c r="I157" s="57"/>
      <c r="R157" s="54"/>
      <c r="S157" s="54"/>
      <c r="T157" s="54"/>
      <c r="U157" s="54">
        <f t="shared" si="11"/>
        <v>0</v>
      </c>
      <c r="V157" s="54">
        <f t="shared" si="12"/>
        <v>0</v>
      </c>
      <c r="W157" s="54">
        <f t="shared" si="13"/>
        <v>0</v>
      </c>
    </row>
    <row r="158" spans="1:23" s="58" customFormat="1" ht="15" hidden="1" customHeight="1" x14ac:dyDescent="0.25">
      <c r="A158" s="64" t="s">
        <v>823</v>
      </c>
      <c r="B158" s="65" t="s">
        <v>259</v>
      </c>
      <c r="C158" s="53" t="s">
        <v>782</v>
      </c>
      <c r="D158" s="53" t="s">
        <v>37</v>
      </c>
      <c r="E158" s="54">
        <f t="shared" si="16"/>
        <v>4000</v>
      </c>
      <c r="F158" s="54">
        <f t="shared" si="16"/>
        <v>0</v>
      </c>
      <c r="G158" s="54">
        <f t="shared" si="16"/>
        <v>0</v>
      </c>
      <c r="H158" s="57"/>
      <c r="I158" s="57"/>
      <c r="R158" s="54"/>
      <c r="S158" s="54"/>
      <c r="T158" s="54"/>
      <c r="U158" s="54">
        <f t="shared" si="11"/>
        <v>4000</v>
      </c>
      <c r="V158" s="54">
        <f t="shared" si="12"/>
        <v>0</v>
      </c>
      <c r="W158" s="54">
        <f t="shared" si="13"/>
        <v>0</v>
      </c>
    </row>
    <row r="159" spans="1:23" s="58" customFormat="1" ht="15" customHeight="1" x14ac:dyDescent="0.25">
      <c r="A159" s="64" t="s">
        <v>371</v>
      </c>
      <c r="B159" s="65" t="s">
        <v>259</v>
      </c>
      <c r="C159" s="53" t="s">
        <v>757</v>
      </c>
      <c r="D159" s="53" t="s">
        <v>37</v>
      </c>
      <c r="E159" s="54">
        <f t="shared" si="16"/>
        <v>99836.85</v>
      </c>
      <c r="F159" s="54">
        <f t="shared" si="16"/>
        <v>34800</v>
      </c>
      <c r="G159" s="54">
        <f t="shared" si="16"/>
        <v>34800</v>
      </c>
      <c r="H159" s="57"/>
      <c r="I159" s="57"/>
      <c r="R159" s="54"/>
      <c r="S159" s="54"/>
      <c r="T159" s="54"/>
      <c r="U159" s="54">
        <f t="shared" si="11"/>
        <v>99836.85</v>
      </c>
      <c r="V159" s="54">
        <f t="shared" si="12"/>
        <v>34800</v>
      </c>
      <c r="W159" s="54">
        <f t="shared" si="13"/>
        <v>34800</v>
      </c>
    </row>
    <row r="160" spans="1:23" s="58" customFormat="1" ht="15" hidden="1" customHeight="1" x14ac:dyDescent="0.25">
      <c r="A160" s="64" t="s">
        <v>786</v>
      </c>
      <c r="B160" s="65" t="s">
        <v>259</v>
      </c>
      <c r="C160" s="53" t="s">
        <v>757</v>
      </c>
      <c r="D160" s="53" t="s">
        <v>37</v>
      </c>
      <c r="E160" s="54">
        <f t="shared" si="16"/>
        <v>0</v>
      </c>
      <c r="F160" s="54">
        <f t="shared" si="16"/>
        <v>0</v>
      </c>
      <c r="G160" s="54">
        <f t="shared" si="16"/>
        <v>0</v>
      </c>
      <c r="H160" s="57"/>
      <c r="I160" s="57"/>
      <c r="R160" s="54"/>
      <c r="S160" s="54"/>
      <c r="T160" s="54"/>
      <c r="U160" s="54">
        <f t="shared" si="11"/>
        <v>0</v>
      </c>
      <c r="V160" s="54">
        <f t="shared" si="12"/>
        <v>0</v>
      </c>
      <c r="W160" s="54">
        <f t="shared" si="13"/>
        <v>0</v>
      </c>
    </row>
    <row r="161" spans="1:23" s="58" customFormat="1" ht="15" customHeight="1" x14ac:dyDescent="0.25">
      <c r="A161" s="64" t="s">
        <v>372</v>
      </c>
      <c r="B161" s="65" t="s">
        <v>259</v>
      </c>
      <c r="C161" s="53" t="s">
        <v>320</v>
      </c>
      <c r="D161" s="53" t="s">
        <v>37</v>
      </c>
      <c r="E161" s="54">
        <f t="shared" si="16"/>
        <v>27010.89</v>
      </c>
      <c r="F161" s="54">
        <f t="shared" si="16"/>
        <v>38860</v>
      </c>
      <c r="G161" s="54">
        <f t="shared" si="16"/>
        <v>38860</v>
      </c>
      <c r="H161" s="57"/>
      <c r="I161" s="57"/>
      <c r="R161" s="54"/>
      <c r="S161" s="54"/>
      <c r="T161" s="54"/>
      <c r="U161" s="54">
        <f t="shared" si="11"/>
        <v>27010.89</v>
      </c>
      <c r="V161" s="54">
        <f t="shared" si="12"/>
        <v>38860</v>
      </c>
      <c r="W161" s="54">
        <f t="shared" si="13"/>
        <v>38860</v>
      </c>
    </row>
    <row r="162" spans="1:23" s="58" customFormat="1" ht="15" hidden="1" customHeight="1" x14ac:dyDescent="0.25">
      <c r="A162" s="64" t="s">
        <v>373</v>
      </c>
      <c r="B162" s="65" t="s">
        <v>259</v>
      </c>
      <c r="C162" s="53" t="s">
        <v>320</v>
      </c>
      <c r="D162" s="53" t="s">
        <v>37</v>
      </c>
      <c r="E162" s="54">
        <f t="shared" si="16"/>
        <v>0</v>
      </c>
      <c r="F162" s="54">
        <f t="shared" si="16"/>
        <v>0</v>
      </c>
      <c r="G162" s="54">
        <f t="shared" si="16"/>
        <v>0</v>
      </c>
      <c r="H162" s="57"/>
      <c r="I162" s="57"/>
      <c r="R162" s="54"/>
      <c r="S162" s="54"/>
      <c r="T162" s="54"/>
      <c r="U162" s="54">
        <f t="shared" si="11"/>
        <v>0</v>
      </c>
      <c r="V162" s="54">
        <f t="shared" si="12"/>
        <v>0</v>
      </c>
      <c r="W162" s="54">
        <f t="shared" si="13"/>
        <v>0</v>
      </c>
    </row>
    <row r="163" spans="1:23" s="58" customFormat="1" ht="15" hidden="1" customHeight="1" x14ac:dyDescent="0.25">
      <c r="A163" s="64" t="s">
        <v>374</v>
      </c>
      <c r="B163" s="65" t="s">
        <v>259</v>
      </c>
      <c r="C163" s="53" t="s">
        <v>320</v>
      </c>
      <c r="D163" s="570" t="s">
        <v>268</v>
      </c>
      <c r="E163" s="54">
        <f t="shared" si="16"/>
        <v>0</v>
      </c>
      <c r="F163" s="54">
        <f t="shared" si="16"/>
        <v>0</v>
      </c>
      <c r="G163" s="54">
        <f t="shared" si="16"/>
        <v>0</v>
      </c>
      <c r="H163" s="57"/>
      <c r="I163" s="57"/>
      <c r="R163" s="54"/>
      <c r="S163" s="54"/>
      <c r="T163" s="54"/>
      <c r="U163" s="54">
        <f t="shared" si="11"/>
        <v>0</v>
      </c>
      <c r="V163" s="54">
        <f t="shared" si="12"/>
        <v>0</v>
      </c>
      <c r="W163" s="54">
        <f t="shared" si="13"/>
        <v>0</v>
      </c>
    </row>
    <row r="164" spans="1:23" s="58" customFormat="1" ht="15" customHeight="1" x14ac:dyDescent="0.25">
      <c r="A164" s="64" t="s">
        <v>375</v>
      </c>
      <c r="B164" s="65" t="s">
        <v>259</v>
      </c>
      <c r="C164" s="53" t="s">
        <v>320</v>
      </c>
      <c r="D164" s="53" t="s">
        <v>37</v>
      </c>
      <c r="E164" s="54">
        <f t="shared" si="16"/>
        <v>200870</v>
      </c>
      <c r="F164" s="54">
        <f t="shared" si="16"/>
        <v>190542</v>
      </c>
      <c r="G164" s="54">
        <f t="shared" si="16"/>
        <v>190542</v>
      </c>
      <c r="H164" s="57"/>
      <c r="I164" s="57"/>
      <c r="R164" s="54"/>
      <c r="S164" s="54"/>
      <c r="T164" s="54"/>
      <c r="U164" s="54">
        <f t="shared" si="11"/>
        <v>200870</v>
      </c>
      <c r="V164" s="54">
        <f t="shared" si="12"/>
        <v>190542</v>
      </c>
      <c r="W164" s="54">
        <f t="shared" si="13"/>
        <v>190542</v>
      </c>
    </row>
    <row r="165" spans="1:23" s="58" customFormat="1" ht="15" hidden="1" customHeight="1" x14ac:dyDescent="0.25">
      <c r="A165" s="64" t="s">
        <v>376</v>
      </c>
      <c r="B165" s="65" t="s">
        <v>259</v>
      </c>
      <c r="C165" s="53" t="s">
        <v>377</v>
      </c>
      <c r="D165" s="53" t="s">
        <v>37</v>
      </c>
      <c r="E165" s="54">
        <f t="shared" si="16"/>
        <v>0</v>
      </c>
      <c r="F165" s="54">
        <f t="shared" si="16"/>
        <v>0</v>
      </c>
      <c r="G165" s="54">
        <f t="shared" si="16"/>
        <v>0</v>
      </c>
      <c r="H165" s="57"/>
      <c r="I165" s="57"/>
      <c r="R165" s="54"/>
      <c r="S165" s="54"/>
      <c r="T165" s="54"/>
      <c r="U165" s="54">
        <f t="shared" si="11"/>
        <v>0</v>
      </c>
      <c r="V165" s="54">
        <f t="shared" si="12"/>
        <v>0</v>
      </c>
      <c r="W165" s="54">
        <f t="shared" si="13"/>
        <v>0</v>
      </c>
    </row>
    <row r="166" spans="1:23" s="58" customFormat="1" ht="15" hidden="1" customHeight="1" x14ac:dyDescent="0.25">
      <c r="A166" s="64" t="s">
        <v>386</v>
      </c>
      <c r="B166" s="65" t="s">
        <v>259</v>
      </c>
      <c r="C166" s="53" t="s">
        <v>377</v>
      </c>
      <c r="D166" s="53" t="s">
        <v>37</v>
      </c>
      <c r="E166" s="54">
        <f t="shared" si="16"/>
        <v>0</v>
      </c>
      <c r="F166" s="54">
        <f t="shared" si="16"/>
        <v>0</v>
      </c>
      <c r="G166" s="54">
        <f t="shared" si="16"/>
        <v>0</v>
      </c>
      <c r="H166" s="57"/>
      <c r="I166" s="57"/>
      <c r="R166" s="54"/>
      <c r="S166" s="54"/>
      <c r="T166" s="54"/>
      <c r="U166" s="54">
        <f t="shared" si="11"/>
        <v>0</v>
      </c>
      <c r="V166" s="54">
        <f t="shared" si="12"/>
        <v>0</v>
      </c>
      <c r="W166" s="54">
        <f t="shared" si="13"/>
        <v>0</v>
      </c>
    </row>
    <row r="167" spans="1:23" s="58" customFormat="1" ht="15" hidden="1" customHeight="1" x14ac:dyDescent="0.25">
      <c r="A167" s="64" t="s">
        <v>766</v>
      </c>
      <c r="B167" s="65" t="s">
        <v>259</v>
      </c>
      <c r="C167" s="53" t="s">
        <v>320</v>
      </c>
      <c r="D167" s="53" t="s">
        <v>37</v>
      </c>
      <c r="E167" s="54">
        <f t="shared" si="16"/>
        <v>0</v>
      </c>
      <c r="F167" s="54">
        <f t="shared" si="16"/>
        <v>0</v>
      </c>
      <c r="G167" s="54">
        <f t="shared" si="16"/>
        <v>0</v>
      </c>
      <c r="H167" s="57"/>
      <c r="I167" s="57"/>
      <c r="R167" s="54"/>
      <c r="S167" s="54"/>
      <c r="T167" s="54"/>
      <c r="U167" s="54">
        <f t="shared" si="11"/>
        <v>0</v>
      </c>
      <c r="V167" s="54">
        <f t="shared" si="12"/>
        <v>0</v>
      </c>
      <c r="W167" s="54">
        <f t="shared" si="13"/>
        <v>0</v>
      </c>
    </row>
    <row r="168" spans="1:23" s="58" customFormat="1" ht="15" hidden="1" customHeight="1" x14ac:dyDescent="0.25">
      <c r="A168" s="64" t="s">
        <v>765</v>
      </c>
      <c r="B168" s="65" t="s">
        <v>259</v>
      </c>
      <c r="C168" s="53" t="s">
        <v>790</v>
      </c>
      <c r="D168" s="53" t="s">
        <v>37</v>
      </c>
      <c r="E168" s="54">
        <f t="shared" si="16"/>
        <v>0</v>
      </c>
      <c r="F168" s="54">
        <f t="shared" si="16"/>
        <v>0</v>
      </c>
      <c r="G168" s="54">
        <f t="shared" si="16"/>
        <v>0</v>
      </c>
      <c r="H168" s="57"/>
      <c r="I168" s="57"/>
      <c r="R168" s="54"/>
      <c r="S168" s="54"/>
      <c r="T168" s="54"/>
      <c r="U168" s="54">
        <f t="shared" si="11"/>
        <v>0</v>
      </c>
      <c r="V168" s="54">
        <f t="shared" si="12"/>
        <v>0</v>
      </c>
      <c r="W168" s="54">
        <f t="shared" si="13"/>
        <v>0</v>
      </c>
    </row>
    <row r="169" spans="1:23" s="58" customFormat="1" ht="15" hidden="1" customHeight="1" x14ac:dyDescent="0.25">
      <c r="A169" s="64" t="s">
        <v>322</v>
      </c>
      <c r="B169" s="65" t="s">
        <v>259</v>
      </c>
      <c r="C169" s="53" t="s">
        <v>320</v>
      </c>
      <c r="D169" s="53" t="s">
        <v>37</v>
      </c>
      <c r="E169" s="54">
        <f t="shared" si="16"/>
        <v>52180</v>
      </c>
      <c r="F169" s="54">
        <f t="shared" si="16"/>
        <v>50000</v>
      </c>
      <c r="G169" s="54">
        <f t="shared" si="16"/>
        <v>50000</v>
      </c>
      <c r="H169" s="57"/>
      <c r="I169" s="57"/>
      <c r="R169" s="54"/>
      <c r="S169" s="54"/>
      <c r="T169" s="54"/>
      <c r="U169" s="54">
        <f t="shared" si="11"/>
        <v>52180</v>
      </c>
      <c r="V169" s="54">
        <f t="shared" si="12"/>
        <v>50000</v>
      </c>
      <c r="W169" s="54">
        <f t="shared" si="13"/>
        <v>50000</v>
      </c>
    </row>
    <row r="170" spans="1:23" s="45" customFormat="1" x14ac:dyDescent="0.25">
      <c r="A170" s="701" t="s">
        <v>342</v>
      </c>
      <c r="B170" s="702"/>
      <c r="C170" s="702"/>
      <c r="D170" s="702" t="s">
        <v>37</v>
      </c>
      <c r="E170" s="703">
        <f>SUM(E171,E172,E173,E174,E175,E176,E177,E185,E183,E209,E227,E229,E230,E231,E232,E234,E244,E181,E184,E228,E180,E182,E226,E233)</f>
        <v>900098.48</v>
      </c>
      <c r="F170" s="703">
        <f>SUM(F171,F172,F173,F174,F175,F176,F177,F185,F183,F209,F227,F229,F230,F231,F232,F234,F244,F181,F184,F228,F180,F182,F226,F233)</f>
        <v>677200</v>
      </c>
      <c r="G170" s="703">
        <f>SUM(G171,G172,G173,G174,G175,G176,G177,G185,G183,G209,G227,G229,G230,G231,G232,G234,G244,G181,G184,G228,G180,G182,G226,G233)</f>
        <v>677200</v>
      </c>
      <c r="H170" s="63"/>
      <c r="I170" s="63"/>
      <c r="R170" s="61"/>
      <c r="S170" s="61"/>
      <c r="T170" s="61"/>
      <c r="U170" s="61">
        <f t="shared" si="11"/>
        <v>900098.48</v>
      </c>
      <c r="V170" s="61">
        <f t="shared" si="12"/>
        <v>677200</v>
      </c>
      <c r="W170" s="61">
        <f t="shared" si="13"/>
        <v>677200</v>
      </c>
    </row>
    <row r="171" spans="1:23" x14ac:dyDescent="0.25">
      <c r="A171" s="441" t="str">
        <f t="shared" ref="A171:C190" si="17">A81</f>
        <v xml:space="preserve"> - заработная плата</v>
      </c>
      <c r="B171" s="441" t="str">
        <f t="shared" si="17"/>
        <v>111</v>
      </c>
      <c r="C171" s="441" t="str">
        <f t="shared" si="17"/>
        <v>211</v>
      </c>
      <c r="D171" s="53" t="s">
        <v>37</v>
      </c>
      <c r="E171" s="818">
        <f>312074+68841.48+5609.14-E172+4103.9</f>
        <v>389628.52</v>
      </c>
      <c r="F171" s="818">
        <f t="shared" ref="F171:G171" si="18">312074-F172</f>
        <v>311074</v>
      </c>
      <c r="G171" s="818">
        <f t="shared" si="18"/>
        <v>311074</v>
      </c>
      <c r="H171" s="56"/>
      <c r="R171" s="54"/>
      <c r="S171" s="54"/>
      <c r="T171" s="54"/>
      <c r="U171" s="54">
        <f t="shared" si="11"/>
        <v>389628.52</v>
      </c>
      <c r="V171" s="54">
        <f t="shared" si="12"/>
        <v>311074</v>
      </c>
      <c r="W171" s="54">
        <f t="shared" si="13"/>
        <v>311074</v>
      </c>
    </row>
    <row r="172" spans="1:23" x14ac:dyDescent="0.25">
      <c r="A172" s="441" t="str">
        <f t="shared" si="17"/>
        <v xml:space="preserve"> - 3 дн б/л за счет работодателя</v>
      </c>
      <c r="B172" s="441" t="str">
        <f t="shared" si="17"/>
        <v>111</v>
      </c>
      <c r="C172" s="441" t="str">
        <f t="shared" si="17"/>
        <v>266</v>
      </c>
      <c r="D172" s="53" t="s">
        <v>37</v>
      </c>
      <c r="E172" s="818">
        <v>1000</v>
      </c>
      <c r="F172" s="818">
        <v>1000</v>
      </c>
      <c r="G172" s="818">
        <v>1000</v>
      </c>
      <c r="H172" s="56"/>
      <c r="R172" s="54"/>
      <c r="S172" s="54"/>
      <c r="T172" s="54"/>
      <c r="U172" s="54">
        <f t="shared" si="11"/>
        <v>1000</v>
      </c>
      <c r="V172" s="54">
        <f t="shared" si="12"/>
        <v>1000</v>
      </c>
      <c r="W172" s="54">
        <f t="shared" si="13"/>
        <v>1000</v>
      </c>
    </row>
    <row r="173" spans="1:23" s="58" customFormat="1" hidden="1" x14ac:dyDescent="0.25">
      <c r="A173" s="441" t="str">
        <f t="shared" si="17"/>
        <v xml:space="preserve"> - пособие по уходу за ребенком</v>
      </c>
      <c r="B173" s="441" t="str">
        <f t="shared" si="17"/>
        <v>112</v>
      </c>
      <c r="C173" s="441" t="str">
        <f t="shared" si="17"/>
        <v>266</v>
      </c>
      <c r="D173" s="53" t="s">
        <v>37</v>
      </c>
      <c r="E173" s="54"/>
      <c r="F173" s="54"/>
      <c r="G173" s="54"/>
      <c r="H173" s="57"/>
      <c r="I173" s="57"/>
      <c r="R173" s="54"/>
      <c r="S173" s="54"/>
      <c r="T173" s="54"/>
      <c r="U173" s="54">
        <f t="shared" si="11"/>
        <v>0</v>
      </c>
      <c r="V173" s="54">
        <f t="shared" si="12"/>
        <v>0</v>
      </c>
      <c r="W173" s="54">
        <f t="shared" si="13"/>
        <v>0</v>
      </c>
    </row>
    <row r="174" spans="1:23" s="58" customFormat="1" hidden="1" x14ac:dyDescent="0.25">
      <c r="A174" s="441" t="str">
        <f t="shared" si="17"/>
        <v xml:space="preserve"> - предварительный мед.осмотр (возм.расх.)</v>
      </c>
      <c r="B174" s="441" t="str">
        <f t="shared" si="17"/>
        <v>112</v>
      </c>
      <c r="C174" s="441" t="str">
        <f t="shared" si="17"/>
        <v>226</v>
      </c>
      <c r="D174" s="53" t="s">
        <v>37</v>
      </c>
      <c r="E174" s="54"/>
      <c r="F174" s="54"/>
      <c r="G174" s="54"/>
      <c r="H174" s="57"/>
      <c r="I174" s="57"/>
      <c r="R174" s="54"/>
      <c r="S174" s="54"/>
      <c r="T174" s="54"/>
      <c r="U174" s="54">
        <f t="shared" si="11"/>
        <v>0</v>
      </c>
      <c r="V174" s="54">
        <f t="shared" si="12"/>
        <v>0</v>
      </c>
      <c r="W174" s="54">
        <f t="shared" si="13"/>
        <v>0</v>
      </c>
    </row>
    <row r="175" spans="1:23" s="58" customFormat="1" hidden="1" x14ac:dyDescent="0.25">
      <c r="A175" s="441" t="str">
        <f>A85</f>
        <v xml:space="preserve"> - НДФЛ</v>
      </c>
      <c r="B175" s="441" t="str">
        <f t="shared" si="17"/>
        <v>112</v>
      </c>
      <c r="C175" s="829">
        <v>213</v>
      </c>
      <c r="D175" s="53" t="s">
        <v>37</v>
      </c>
      <c r="E175" s="828"/>
      <c r="F175" s="54"/>
      <c r="G175" s="54"/>
      <c r="H175" s="57"/>
      <c r="I175" s="57"/>
      <c r="R175" s="54"/>
      <c r="S175" s="54"/>
      <c r="T175" s="54"/>
      <c r="U175" s="54">
        <f t="shared" si="11"/>
        <v>0</v>
      </c>
      <c r="V175" s="54">
        <f t="shared" si="12"/>
        <v>0</v>
      </c>
      <c r="W175" s="54">
        <f t="shared" si="13"/>
        <v>0</v>
      </c>
    </row>
    <row r="176" spans="1:23" x14ac:dyDescent="0.25">
      <c r="A176" s="441" t="str">
        <f t="shared" si="17"/>
        <v xml:space="preserve"> - начисления на оплату труда</v>
      </c>
      <c r="B176" s="441" t="str">
        <f t="shared" si="17"/>
        <v>119</v>
      </c>
      <c r="C176" s="441" t="str">
        <f t="shared" si="17"/>
        <v>213</v>
      </c>
      <c r="D176" s="53" t="s">
        <v>37</v>
      </c>
      <c r="E176" s="818">
        <f>94246+20790.12</f>
        <v>115036.12</v>
      </c>
      <c r="F176" s="818">
        <v>94246</v>
      </c>
      <c r="G176" s="818">
        <v>94246</v>
      </c>
      <c r="H176" s="56"/>
      <c r="R176" s="54"/>
      <c r="S176" s="54"/>
      <c r="T176" s="54"/>
      <c r="U176" s="54">
        <f t="shared" si="11"/>
        <v>115036.12</v>
      </c>
      <c r="V176" s="54">
        <f t="shared" si="12"/>
        <v>94246</v>
      </c>
      <c r="W176" s="54">
        <f t="shared" si="13"/>
        <v>94246</v>
      </c>
    </row>
    <row r="177" spans="1:23" s="45" customFormat="1" x14ac:dyDescent="0.25">
      <c r="A177" s="441" t="str">
        <f t="shared" si="17"/>
        <v xml:space="preserve"> - услуги связи, всего:</v>
      </c>
      <c r="B177" s="441" t="str">
        <f t="shared" si="17"/>
        <v>244</v>
      </c>
      <c r="C177" s="441" t="str">
        <f t="shared" si="17"/>
        <v>221</v>
      </c>
      <c r="D177" s="60"/>
      <c r="E177" s="61">
        <f>SUM(E178:E179)</f>
        <v>191.3</v>
      </c>
      <c r="F177" s="61">
        <f>SUM(F178:F179)</f>
        <v>0</v>
      </c>
      <c r="G177" s="61">
        <f>SUM(G178:G179)</f>
        <v>0</v>
      </c>
      <c r="H177" s="63"/>
      <c r="R177" s="61"/>
      <c r="S177" s="61"/>
      <c r="T177" s="61"/>
      <c r="U177" s="61">
        <f t="shared" si="11"/>
        <v>191.3</v>
      </c>
      <c r="V177" s="61">
        <f t="shared" si="12"/>
        <v>0</v>
      </c>
      <c r="W177" s="61">
        <f t="shared" si="13"/>
        <v>0</v>
      </c>
    </row>
    <row r="178" spans="1:23" ht="27.6" x14ac:dyDescent="0.25">
      <c r="A178" s="441" t="str">
        <f t="shared" si="17"/>
        <v xml:space="preserve">   в том числе:
    - ГТС и МТС</v>
      </c>
      <c r="B178" s="441" t="str">
        <f t="shared" si="17"/>
        <v>244</v>
      </c>
      <c r="C178" s="441" t="str">
        <f t="shared" si="17"/>
        <v>221</v>
      </c>
      <c r="D178" s="53" t="s">
        <v>268</v>
      </c>
      <c r="E178" s="844">
        <f>163.39+27.91</f>
        <v>191.3</v>
      </c>
      <c r="F178" s="54"/>
      <c r="G178" s="54"/>
      <c r="H178" s="56"/>
      <c r="I178" s="56"/>
      <c r="R178" s="54"/>
      <c r="S178" s="54"/>
      <c r="T178" s="54"/>
      <c r="U178" s="54">
        <f t="shared" si="11"/>
        <v>191.3</v>
      </c>
      <c r="V178" s="54">
        <f t="shared" si="12"/>
        <v>0</v>
      </c>
      <c r="W178" s="54">
        <f t="shared" si="13"/>
        <v>0</v>
      </c>
    </row>
    <row r="179" spans="1:23" s="58" customFormat="1" hidden="1" x14ac:dyDescent="0.25">
      <c r="A179" s="441" t="str">
        <f t="shared" si="17"/>
        <v xml:space="preserve">    - интернет </v>
      </c>
      <c r="B179" s="441" t="str">
        <f t="shared" si="17"/>
        <v>244</v>
      </c>
      <c r="C179" s="441" t="str">
        <f t="shared" si="17"/>
        <v>221</v>
      </c>
      <c r="D179" s="53" t="s">
        <v>268</v>
      </c>
      <c r="E179" s="844"/>
      <c r="F179" s="54"/>
      <c r="G179" s="54"/>
      <c r="H179" s="57"/>
      <c r="I179" s="57"/>
      <c r="R179" s="54"/>
      <c r="S179" s="54"/>
      <c r="T179" s="54"/>
      <c r="U179" s="54">
        <f t="shared" si="11"/>
        <v>0</v>
      </c>
      <c r="V179" s="54">
        <f t="shared" si="12"/>
        <v>0</v>
      </c>
      <c r="W179" s="54">
        <f t="shared" si="13"/>
        <v>0</v>
      </c>
    </row>
    <row r="180" spans="1:23" s="58" customFormat="1" hidden="1" x14ac:dyDescent="0.25">
      <c r="A180" s="441" t="str">
        <f t="shared" si="17"/>
        <v xml:space="preserve"> - транспортные расходы</v>
      </c>
      <c r="B180" s="441" t="str">
        <f t="shared" si="17"/>
        <v>244</v>
      </c>
      <c r="C180" s="441" t="str">
        <f t="shared" si="17"/>
        <v>222</v>
      </c>
      <c r="D180" s="53" t="s">
        <v>268</v>
      </c>
      <c r="E180" s="844">
        <f>'Приложение 4,5,6 расходы'!V134</f>
        <v>0</v>
      </c>
      <c r="F180" s="54"/>
      <c r="G180" s="54"/>
      <c r="I180" s="57"/>
      <c r="R180" s="54"/>
      <c r="S180" s="54"/>
      <c r="T180" s="54"/>
      <c r="U180" s="54">
        <f t="shared" si="11"/>
        <v>0</v>
      </c>
      <c r="V180" s="54">
        <f t="shared" si="12"/>
        <v>0</v>
      </c>
      <c r="W180" s="54">
        <f t="shared" si="13"/>
        <v>0</v>
      </c>
    </row>
    <row r="181" spans="1:23" x14ac:dyDescent="0.25">
      <c r="A181" s="441" t="str">
        <f t="shared" si="17"/>
        <v xml:space="preserve"> - коммунальные расходы (без ЖБО)</v>
      </c>
      <c r="B181" s="441" t="str">
        <f t="shared" si="17"/>
        <v>244</v>
      </c>
      <c r="C181" s="441" t="str">
        <f t="shared" si="17"/>
        <v>223</v>
      </c>
      <c r="D181" s="53" t="s">
        <v>268</v>
      </c>
      <c r="E181" s="844">
        <f>44018+14221+12847.16-18427.6-18160</f>
        <v>34498.559999999998</v>
      </c>
      <c r="F181" s="818">
        <f t="shared" ref="F181:G181" si="19">44018+14221</f>
        <v>58239</v>
      </c>
      <c r="G181" s="818">
        <f t="shared" si="19"/>
        <v>58239</v>
      </c>
      <c r="H181" s="56">
        <f>E181+E209+E839+E897+E900+E905+E929</f>
        <v>361776.86</v>
      </c>
      <c r="I181" s="56"/>
      <c r="R181" s="54"/>
      <c r="S181" s="54"/>
      <c r="T181" s="54"/>
      <c r="U181" s="54">
        <f t="shared" si="11"/>
        <v>34498.559999999998</v>
      </c>
      <c r="V181" s="54">
        <f t="shared" si="12"/>
        <v>58239</v>
      </c>
      <c r="W181" s="54">
        <f t="shared" si="13"/>
        <v>58239</v>
      </c>
    </row>
    <row r="182" spans="1:23" x14ac:dyDescent="0.25">
      <c r="A182" s="441" t="str">
        <f>A92</f>
        <v xml:space="preserve"> - коммунальные расходы (без ЖБО)</v>
      </c>
      <c r="B182" s="441" t="str">
        <f t="shared" si="17"/>
        <v>247</v>
      </c>
      <c r="C182" s="441" t="str">
        <f t="shared" si="17"/>
        <v>223</v>
      </c>
      <c r="D182" s="53" t="s">
        <v>268</v>
      </c>
      <c r="E182" s="844">
        <f>9481+2091.4+18427.6+18160+10768.8</f>
        <v>58928.800000000003</v>
      </c>
      <c r="F182" s="818">
        <v>9481</v>
      </c>
      <c r="G182" s="818">
        <v>9481</v>
      </c>
      <c r="H182" s="56"/>
      <c r="I182" s="56"/>
      <c r="R182" s="54"/>
      <c r="S182" s="54"/>
      <c r="T182" s="54"/>
      <c r="U182" s="54">
        <f t="shared" si="11"/>
        <v>58928.800000000003</v>
      </c>
      <c r="V182" s="54">
        <f t="shared" si="12"/>
        <v>9481</v>
      </c>
      <c r="W182" s="54">
        <f t="shared" si="13"/>
        <v>9481</v>
      </c>
    </row>
    <row r="183" spans="1:23" hidden="1" x14ac:dyDescent="0.25">
      <c r="A183" s="52" t="str">
        <f t="shared" si="17"/>
        <v xml:space="preserve">    - ЖБО </v>
      </c>
      <c r="B183" s="52" t="str">
        <f t="shared" si="17"/>
        <v>244</v>
      </c>
      <c r="C183" s="52" t="str">
        <f t="shared" si="17"/>
        <v>223</v>
      </c>
      <c r="D183" s="53" t="s">
        <v>268</v>
      </c>
      <c r="E183" s="54"/>
      <c r="F183" s="54"/>
      <c r="G183" s="54"/>
      <c r="H183" s="58"/>
      <c r="I183" s="57"/>
      <c r="R183" s="54"/>
      <c r="S183" s="54"/>
      <c r="T183" s="54"/>
      <c r="U183" s="54">
        <f t="shared" si="11"/>
        <v>0</v>
      </c>
      <c r="V183" s="54">
        <f t="shared" si="12"/>
        <v>0</v>
      </c>
      <c r="W183" s="54">
        <f t="shared" si="13"/>
        <v>0</v>
      </c>
    </row>
    <row r="184" spans="1:23" s="58" customFormat="1" hidden="1" x14ac:dyDescent="0.25">
      <c r="A184" s="52" t="str">
        <f t="shared" si="17"/>
        <v xml:space="preserve"> - арендная плата </v>
      </c>
      <c r="B184" s="52" t="str">
        <f t="shared" si="17"/>
        <v>244</v>
      </c>
      <c r="C184" s="52" t="str">
        <f t="shared" si="17"/>
        <v>224</v>
      </c>
      <c r="D184" s="53" t="s">
        <v>268</v>
      </c>
      <c r="E184" s="54"/>
      <c r="F184" s="54"/>
      <c r="G184" s="54"/>
      <c r="H184" s="57"/>
      <c r="I184" s="57"/>
      <c r="R184" s="54"/>
      <c r="S184" s="54"/>
      <c r="T184" s="54"/>
      <c r="U184" s="54">
        <f t="shared" si="11"/>
        <v>0</v>
      </c>
      <c r="V184" s="54">
        <f t="shared" si="12"/>
        <v>0</v>
      </c>
      <c r="W184" s="54">
        <f t="shared" si="13"/>
        <v>0</v>
      </c>
    </row>
    <row r="185" spans="1:23" s="45" customFormat="1" x14ac:dyDescent="0.25">
      <c r="A185" s="52" t="str">
        <f t="shared" si="17"/>
        <v xml:space="preserve"> - услуги по содержанию имущества, всего:</v>
      </c>
      <c r="B185" s="52" t="str">
        <f t="shared" si="17"/>
        <v>244</v>
      </c>
      <c r="C185" s="52" t="str">
        <f t="shared" si="17"/>
        <v>225</v>
      </c>
      <c r="D185" s="104"/>
      <c r="E185" s="62">
        <f>SUM(E186:E208)</f>
        <v>45247.26</v>
      </c>
      <c r="F185" s="62">
        <f>SUM(F186:F208)</f>
        <v>0</v>
      </c>
      <c r="G185" s="62">
        <f>SUM(G186:G208)</f>
        <v>0</v>
      </c>
      <c r="H185" s="63"/>
      <c r="I185" s="63"/>
      <c r="R185" s="62"/>
      <c r="S185" s="62"/>
      <c r="T185" s="62"/>
      <c r="U185" s="62">
        <f t="shared" si="11"/>
        <v>45247.26</v>
      </c>
      <c r="V185" s="62">
        <f t="shared" si="12"/>
        <v>0</v>
      </c>
      <c r="W185" s="62">
        <f t="shared" si="13"/>
        <v>0</v>
      </c>
    </row>
    <row r="186" spans="1:23" ht="41.4" hidden="1" x14ac:dyDescent="0.25">
      <c r="A186" s="52" t="str">
        <f t="shared" si="17"/>
        <v xml:space="preserve">   в том числе:
    - тек.ремонт (отопление, водопровод, электросетей)</v>
      </c>
      <c r="B186" s="52" t="str">
        <f t="shared" si="17"/>
        <v>244</v>
      </c>
      <c r="C186" s="52" t="str">
        <f t="shared" si="17"/>
        <v>225</v>
      </c>
      <c r="D186" s="53" t="s">
        <v>268</v>
      </c>
      <c r="E186" s="54">
        <f>'Приложение 4,5,6 расходы'!V406</f>
        <v>0</v>
      </c>
      <c r="F186" s="54"/>
      <c r="G186" s="54"/>
      <c r="H186" s="56"/>
      <c r="I186" s="56"/>
      <c r="R186" s="54"/>
      <c r="S186" s="54"/>
      <c r="T186" s="54"/>
      <c r="U186" s="54">
        <f t="shared" si="11"/>
        <v>0</v>
      </c>
      <c r="V186" s="54">
        <f t="shared" si="12"/>
        <v>0</v>
      </c>
      <c r="W186" s="54">
        <f t="shared" si="13"/>
        <v>0</v>
      </c>
    </row>
    <row r="187" spans="1:23" s="66" customFormat="1" hidden="1" x14ac:dyDescent="0.25">
      <c r="A187" s="52" t="str">
        <f t="shared" si="17"/>
        <v xml:space="preserve">    - очистка кровли от снега</v>
      </c>
      <c r="B187" s="52" t="str">
        <f t="shared" si="17"/>
        <v>244</v>
      </c>
      <c r="C187" s="52" t="str">
        <f t="shared" si="17"/>
        <v>225</v>
      </c>
      <c r="D187" s="53" t="s">
        <v>399</v>
      </c>
      <c r="E187" s="54">
        <f>'Приложение 4,5,6 расходы'!V422</f>
        <v>0</v>
      </c>
      <c r="F187" s="54"/>
      <c r="G187" s="54"/>
      <c r="I187" s="67"/>
      <c r="R187" s="54"/>
      <c r="S187" s="54"/>
      <c r="T187" s="54"/>
      <c r="U187" s="54">
        <f t="shared" si="11"/>
        <v>0</v>
      </c>
      <c r="V187" s="54">
        <f t="shared" si="12"/>
        <v>0</v>
      </c>
      <c r="W187" s="54">
        <f t="shared" si="13"/>
        <v>0</v>
      </c>
    </row>
    <row r="188" spans="1:23" ht="27.6" hidden="1" x14ac:dyDescent="0.25">
      <c r="A188" s="52" t="str">
        <f t="shared" si="17"/>
        <v xml:space="preserve">    - текущий ремонт кровли, крыльца, заделка швов, асфальтирование территории</v>
      </c>
      <c r="B188" s="52" t="str">
        <f t="shared" si="17"/>
        <v>244</v>
      </c>
      <c r="C188" s="52" t="str">
        <f t="shared" si="17"/>
        <v>225</v>
      </c>
      <c r="D188" s="53" t="s">
        <v>268</v>
      </c>
      <c r="E188" s="54">
        <f>'Приложение 4,5,6 расходы'!V421+'Приложение 4,5,6 расходы'!V419</f>
        <v>0</v>
      </c>
      <c r="F188" s="54"/>
      <c r="G188" s="54"/>
      <c r="H188" s="56"/>
      <c r="I188" s="56"/>
      <c r="R188" s="54"/>
      <c r="S188" s="54"/>
      <c r="T188" s="54"/>
      <c r="U188" s="54">
        <f t="shared" si="11"/>
        <v>0</v>
      </c>
      <c r="V188" s="54">
        <f t="shared" si="12"/>
        <v>0</v>
      </c>
      <c r="W188" s="54">
        <f t="shared" si="13"/>
        <v>0</v>
      </c>
    </row>
    <row r="189" spans="1:23" hidden="1" x14ac:dyDescent="0.25">
      <c r="A189" s="52" t="str">
        <f t="shared" si="17"/>
        <v xml:space="preserve">    - аварийно-техническое обслуживание зданий</v>
      </c>
      <c r="B189" s="52" t="str">
        <f t="shared" si="17"/>
        <v>244</v>
      </c>
      <c r="C189" s="52" t="str">
        <f t="shared" si="17"/>
        <v>225</v>
      </c>
      <c r="D189" s="53" t="s">
        <v>268</v>
      </c>
      <c r="E189" s="54"/>
      <c r="F189" s="54"/>
      <c r="G189" s="54"/>
      <c r="H189" s="56"/>
      <c r="I189" s="56"/>
      <c r="R189" s="54"/>
      <c r="S189" s="54"/>
      <c r="T189" s="54"/>
      <c r="U189" s="54">
        <f t="shared" si="11"/>
        <v>0</v>
      </c>
      <c r="V189" s="54">
        <f t="shared" si="12"/>
        <v>0</v>
      </c>
      <c r="W189" s="54">
        <f t="shared" si="13"/>
        <v>0</v>
      </c>
    </row>
    <row r="190" spans="1:23" ht="27.6" hidden="1" x14ac:dyDescent="0.25">
      <c r="A190" s="52" t="str">
        <f t="shared" si="17"/>
        <v xml:space="preserve">    - содержание мест общего пользования (ПЖРЭТ), взносы на кап.ремонт</v>
      </c>
      <c r="B190" s="52" t="str">
        <f t="shared" si="17"/>
        <v>244</v>
      </c>
      <c r="C190" s="52" t="str">
        <f t="shared" si="17"/>
        <v>225</v>
      </c>
      <c r="D190" s="53" t="s">
        <v>268</v>
      </c>
      <c r="E190" s="54"/>
      <c r="F190" s="54"/>
      <c r="G190" s="54"/>
      <c r="I190" s="56"/>
      <c r="R190" s="54"/>
      <c r="S190" s="54"/>
      <c r="T190" s="54"/>
      <c r="U190" s="54">
        <f t="shared" si="11"/>
        <v>0</v>
      </c>
      <c r="V190" s="54">
        <f t="shared" si="12"/>
        <v>0</v>
      </c>
      <c r="W190" s="54">
        <f t="shared" si="13"/>
        <v>0</v>
      </c>
    </row>
    <row r="191" spans="1:23" hidden="1" x14ac:dyDescent="0.25">
      <c r="A191" s="52" t="str">
        <f t="shared" ref="A191:C210" si="20">A101</f>
        <v xml:space="preserve">    - наружное освещение</v>
      </c>
      <c r="B191" s="52" t="str">
        <f t="shared" si="20"/>
        <v>244</v>
      </c>
      <c r="C191" s="52" t="str">
        <f t="shared" si="20"/>
        <v>225</v>
      </c>
      <c r="D191" s="53" t="s">
        <v>268</v>
      </c>
      <c r="E191" s="54"/>
      <c r="F191" s="54"/>
      <c r="G191" s="54"/>
      <c r="I191" s="56"/>
      <c r="R191" s="54"/>
      <c r="S191" s="54"/>
      <c r="T191" s="54"/>
      <c r="U191" s="54">
        <f t="shared" si="11"/>
        <v>0</v>
      </c>
      <c r="V191" s="54">
        <f t="shared" si="12"/>
        <v>0</v>
      </c>
      <c r="W191" s="54">
        <f t="shared" si="13"/>
        <v>0</v>
      </c>
    </row>
    <row r="192" spans="1:23" hidden="1" x14ac:dyDescent="0.25">
      <c r="A192" s="52" t="str">
        <f t="shared" si="20"/>
        <v xml:space="preserve">    - то приборов коммерческого учета</v>
      </c>
      <c r="B192" s="52" t="str">
        <f t="shared" si="20"/>
        <v>244</v>
      </c>
      <c r="C192" s="52" t="str">
        <f t="shared" si="20"/>
        <v>225</v>
      </c>
      <c r="D192" s="53" t="s">
        <v>268</v>
      </c>
      <c r="E192" s="54"/>
      <c r="F192" s="54"/>
      <c r="G192" s="54"/>
      <c r="I192" s="56"/>
      <c r="R192" s="54"/>
      <c r="S192" s="54"/>
      <c r="T192" s="54"/>
      <c r="U192" s="54">
        <f t="shared" si="11"/>
        <v>0</v>
      </c>
      <c r="V192" s="54">
        <f t="shared" si="12"/>
        <v>0</v>
      </c>
      <c r="W192" s="54">
        <f t="shared" si="13"/>
        <v>0</v>
      </c>
    </row>
    <row r="193" spans="1:23" hidden="1" x14ac:dyDescent="0.25">
      <c r="A193" s="52" t="str">
        <f t="shared" si="20"/>
        <v xml:space="preserve">    - дезинфекция</v>
      </c>
      <c r="B193" s="52" t="str">
        <f t="shared" si="20"/>
        <v>244</v>
      </c>
      <c r="C193" s="52" t="str">
        <f t="shared" si="20"/>
        <v>225</v>
      </c>
      <c r="D193" s="53" t="s">
        <v>268</v>
      </c>
      <c r="E193" s="54"/>
      <c r="F193" s="54"/>
      <c r="G193" s="54"/>
      <c r="I193" s="56"/>
      <c r="R193" s="54"/>
      <c r="S193" s="54"/>
      <c r="T193" s="54"/>
      <c r="U193" s="54">
        <f t="shared" si="11"/>
        <v>0</v>
      </c>
      <c r="V193" s="54">
        <f t="shared" si="12"/>
        <v>0</v>
      </c>
      <c r="W193" s="54">
        <f t="shared" si="13"/>
        <v>0</v>
      </c>
    </row>
    <row r="194" spans="1:23" hidden="1" x14ac:dyDescent="0.25">
      <c r="A194" s="52" t="str">
        <f t="shared" si="20"/>
        <v xml:space="preserve">    - то видеонаблюдения</v>
      </c>
      <c r="B194" s="52" t="str">
        <f t="shared" si="20"/>
        <v>244</v>
      </c>
      <c r="C194" s="52" t="str">
        <f t="shared" si="20"/>
        <v>225</v>
      </c>
      <c r="D194" s="53" t="s">
        <v>268</v>
      </c>
      <c r="E194" s="54"/>
      <c r="F194" s="54"/>
      <c r="G194" s="54"/>
      <c r="I194" s="56"/>
      <c r="R194" s="54"/>
      <c r="S194" s="54"/>
      <c r="T194" s="54"/>
      <c r="U194" s="54">
        <f t="shared" si="11"/>
        <v>0</v>
      </c>
      <c r="V194" s="54">
        <f t="shared" si="12"/>
        <v>0</v>
      </c>
      <c r="W194" s="54">
        <f t="shared" si="13"/>
        <v>0</v>
      </c>
    </row>
    <row r="195" spans="1:23" x14ac:dyDescent="0.25">
      <c r="A195" s="52" t="str">
        <f t="shared" si="20"/>
        <v xml:space="preserve">    - то пожарно-охранной сигнализации</v>
      </c>
      <c r="B195" s="52" t="str">
        <f t="shared" si="20"/>
        <v>244</v>
      </c>
      <c r="C195" s="52" t="str">
        <f t="shared" si="20"/>
        <v>225</v>
      </c>
      <c r="D195" s="53" t="s">
        <v>268</v>
      </c>
      <c r="E195" s="830">
        <f>300+21675.01+23272.25</f>
        <v>45247.26</v>
      </c>
      <c r="F195" s="54"/>
      <c r="G195" s="54"/>
      <c r="I195" s="56"/>
      <c r="R195" s="54"/>
      <c r="S195" s="54"/>
      <c r="T195" s="54"/>
      <c r="U195" s="54">
        <f t="shared" si="11"/>
        <v>45247.26</v>
      </c>
      <c r="V195" s="54">
        <f t="shared" si="12"/>
        <v>0</v>
      </c>
      <c r="W195" s="54">
        <f t="shared" si="13"/>
        <v>0</v>
      </c>
    </row>
    <row r="196" spans="1:23" hidden="1" x14ac:dyDescent="0.25">
      <c r="A196" s="52" t="str">
        <f t="shared" si="20"/>
        <v xml:space="preserve">    - монтаж (регулировка) дверей/окон</v>
      </c>
      <c r="B196" s="52" t="str">
        <f t="shared" si="20"/>
        <v>244</v>
      </c>
      <c r="C196" s="52" t="str">
        <f t="shared" si="20"/>
        <v>225</v>
      </c>
      <c r="D196" s="53" t="s">
        <v>268</v>
      </c>
      <c r="E196" s="54">
        <f>'Приложение 4,5,6 расходы'!V416</f>
        <v>0</v>
      </c>
      <c r="F196" s="54"/>
      <c r="G196" s="54"/>
      <c r="I196" s="56"/>
      <c r="R196" s="54"/>
      <c r="S196" s="54"/>
      <c r="T196" s="54"/>
      <c r="U196" s="54">
        <f t="shared" si="11"/>
        <v>0</v>
      </c>
      <c r="V196" s="54">
        <f t="shared" si="12"/>
        <v>0</v>
      </c>
      <c r="W196" s="54">
        <f t="shared" si="13"/>
        <v>0</v>
      </c>
    </row>
    <row r="197" spans="1:23" hidden="1" x14ac:dyDescent="0.25">
      <c r="A197" s="52" t="str">
        <f t="shared" si="20"/>
        <v xml:space="preserve">    - заправка картриджей</v>
      </c>
      <c r="B197" s="52" t="str">
        <f t="shared" si="20"/>
        <v>244</v>
      </c>
      <c r="C197" s="52" t="str">
        <f t="shared" si="20"/>
        <v>225</v>
      </c>
      <c r="D197" s="53" t="s">
        <v>268</v>
      </c>
      <c r="E197" s="54">
        <f>'Приложение 4,5,6 расходы'!V407</f>
        <v>0</v>
      </c>
      <c r="F197" s="54"/>
      <c r="G197" s="54"/>
      <c r="I197" s="56"/>
      <c r="R197" s="54"/>
      <c r="S197" s="54"/>
      <c r="T197" s="54"/>
      <c r="U197" s="54">
        <f t="shared" si="11"/>
        <v>0</v>
      </c>
      <c r="V197" s="54">
        <f t="shared" si="12"/>
        <v>0</v>
      </c>
      <c r="W197" s="54">
        <f t="shared" si="13"/>
        <v>0</v>
      </c>
    </row>
    <row r="198" spans="1:23" ht="27.6" hidden="1" x14ac:dyDescent="0.25">
      <c r="A198" s="52" t="str">
        <f t="shared" si="20"/>
        <v xml:space="preserve">    - обслуживание кнопки тревожной сигнализации</v>
      </c>
      <c r="B198" s="52" t="str">
        <f t="shared" si="20"/>
        <v>244</v>
      </c>
      <c r="C198" s="52" t="str">
        <f t="shared" si="20"/>
        <v>225</v>
      </c>
      <c r="D198" s="53" t="s">
        <v>272</v>
      </c>
      <c r="E198" s="54"/>
      <c r="F198" s="54"/>
      <c r="G198" s="54"/>
      <c r="I198" s="56"/>
      <c r="R198" s="54"/>
      <c r="S198" s="54"/>
      <c r="T198" s="54"/>
      <c r="U198" s="54">
        <f t="shared" si="11"/>
        <v>0</v>
      </c>
      <c r="V198" s="54">
        <f t="shared" si="12"/>
        <v>0</v>
      </c>
      <c r="W198" s="54">
        <f t="shared" si="13"/>
        <v>0</v>
      </c>
    </row>
    <row r="199" spans="1:23" hidden="1" x14ac:dyDescent="0.25">
      <c r="A199" s="52" t="str">
        <f t="shared" si="20"/>
        <v xml:space="preserve">    - то компьютерного оборудования</v>
      </c>
      <c r="B199" s="52" t="str">
        <f t="shared" si="20"/>
        <v>244</v>
      </c>
      <c r="C199" s="52" t="str">
        <f t="shared" si="20"/>
        <v>225</v>
      </c>
      <c r="D199" s="53" t="s">
        <v>274</v>
      </c>
      <c r="E199" s="54">
        <f>'Приложение 4,5,6 расходы'!V374</f>
        <v>0</v>
      </c>
      <c r="F199" s="54"/>
      <c r="G199" s="54"/>
      <c r="I199" s="56"/>
      <c r="R199" s="54"/>
      <c r="S199" s="54"/>
      <c r="T199" s="54"/>
      <c r="U199" s="54">
        <f t="shared" si="11"/>
        <v>0</v>
      </c>
      <c r="V199" s="54">
        <f t="shared" si="12"/>
        <v>0</v>
      </c>
      <c r="W199" s="54">
        <f t="shared" si="13"/>
        <v>0</v>
      </c>
    </row>
    <row r="200" spans="1:23" hidden="1" x14ac:dyDescent="0.25">
      <c r="A200" s="52" t="str">
        <f t="shared" si="20"/>
        <v xml:space="preserve">    - Химчистка</v>
      </c>
      <c r="B200" s="52" t="str">
        <f t="shared" si="20"/>
        <v>244</v>
      </c>
      <c r="C200" s="52" t="str">
        <f t="shared" si="20"/>
        <v>225</v>
      </c>
      <c r="D200" s="53" t="s">
        <v>268</v>
      </c>
      <c r="E200" s="54">
        <f>'Приложение 4,5,6 расходы'!V308</f>
        <v>0</v>
      </c>
      <c r="F200" s="54"/>
      <c r="G200" s="54"/>
      <c r="I200" s="56"/>
      <c r="R200" s="54"/>
      <c r="S200" s="54"/>
      <c r="T200" s="54"/>
      <c r="U200" s="54">
        <f t="shared" si="11"/>
        <v>0</v>
      </c>
      <c r="V200" s="54">
        <f t="shared" si="12"/>
        <v>0</v>
      </c>
      <c r="W200" s="54">
        <f t="shared" si="13"/>
        <v>0</v>
      </c>
    </row>
    <row r="201" spans="1:23" hidden="1" x14ac:dyDescent="0.25">
      <c r="A201" s="52" t="str">
        <f t="shared" si="20"/>
        <v xml:space="preserve">    - поверка средств имерения</v>
      </c>
      <c r="B201" s="52" t="str">
        <f t="shared" si="20"/>
        <v>244</v>
      </c>
      <c r="C201" s="52" t="str">
        <f t="shared" si="20"/>
        <v>225</v>
      </c>
      <c r="D201" s="53" t="s">
        <v>268</v>
      </c>
      <c r="E201" s="54"/>
      <c r="F201" s="54"/>
      <c r="G201" s="54"/>
      <c r="I201" s="56"/>
      <c r="R201" s="54"/>
      <c r="S201" s="54"/>
      <c r="T201" s="54"/>
      <c r="U201" s="54">
        <f t="shared" si="11"/>
        <v>0</v>
      </c>
      <c r="V201" s="54">
        <f t="shared" si="12"/>
        <v>0</v>
      </c>
      <c r="W201" s="54">
        <f t="shared" si="13"/>
        <v>0</v>
      </c>
    </row>
    <row r="202" spans="1:23" hidden="1" x14ac:dyDescent="0.25">
      <c r="A202" s="52" t="str">
        <f t="shared" si="20"/>
        <v xml:space="preserve">    - вывоз ТКО</v>
      </c>
      <c r="B202" s="52" t="str">
        <f t="shared" si="20"/>
        <v>244</v>
      </c>
      <c r="C202" s="52" t="str">
        <f t="shared" si="20"/>
        <v>225</v>
      </c>
      <c r="D202" s="53" t="s">
        <v>268</v>
      </c>
      <c r="E202" s="54"/>
      <c r="F202" s="54"/>
      <c r="G202" s="54"/>
      <c r="I202" s="56"/>
      <c r="R202" s="54"/>
      <c r="S202" s="54"/>
      <c r="T202" s="54"/>
      <c r="U202" s="54">
        <f t="shared" si="11"/>
        <v>0</v>
      </c>
      <c r="V202" s="54">
        <f t="shared" si="12"/>
        <v>0</v>
      </c>
      <c r="W202" s="54">
        <f t="shared" si="13"/>
        <v>0</v>
      </c>
    </row>
    <row r="203" spans="1:23" hidden="1" x14ac:dyDescent="0.25">
      <c r="A203" s="52" t="str">
        <f t="shared" si="20"/>
        <v xml:space="preserve">    - текущий ремонт оборудования</v>
      </c>
      <c r="B203" s="52" t="str">
        <f t="shared" si="20"/>
        <v>244</v>
      </c>
      <c r="C203" s="52" t="str">
        <f t="shared" si="20"/>
        <v>225</v>
      </c>
      <c r="D203" s="53"/>
      <c r="E203" s="54">
        <f>'Приложение 4,5,6 расходы'!V406</f>
        <v>0</v>
      </c>
      <c r="F203" s="54"/>
      <c r="G203" s="54"/>
      <c r="I203" s="56"/>
      <c r="R203" s="54"/>
      <c r="S203" s="54"/>
      <c r="T203" s="54"/>
      <c r="U203" s="54">
        <f t="shared" si="11"/>
        <v>0</v>
      </c>
      <c r="V203" s="54">
        <f t="shared" si="12"/>
        <v>0</v>
      </c>
      <c r="W203" s="54">
        <f t="shared" si="13"/>
        <v>0</v>
      </c>
    </row>
    <row r="204" spans="1:23" hidden="1" x14ac:dyDescent="0.25">
      <c r="A204" s="52" t="str">
        <f t="shared" si="20"/>
        <v xml:space="preserve">    - испытание диэлектрических средств защиты</v>
      </c>
      <c r="B204" s="52" t="str">
        <f t="shared" si="20"/>
        <v>244</v>
      </c>
      <c r="C204" s="52" t="str">
        <f t="shared" si="20"/>
        <v>225</v>
      </c>
      <c r="D204" s="53"/>
      <c r="E204" s="54">
        <f>'Приложение 4,5,6 расходы'!V348</f>
        <v>0</v>
      </c>
      <c r="F204" s="54"/>
      <c r="G204" s="54"/>
      <c r="I204" s="56"/>
      <c r="R204" s="54"/>
      <c r="S204" s="54"/>
      <c r="T204" s="54"/>
      <c r="U204" s="54">
        <f t="shared" si="11"/>
        <v>0</v>
      </c>
      <c r="V204" s="54">
        <f t="shared" si="12"/>
        <v>0</v>
      </c>
      <c r="W204" s="54">
        <f t="shared" si="13"/>
        <v>0</v>
      </c>
    </row>
    <row r="205" spans="1:23" hidden="1" x14ac:dyDescent="0.25">
      <c r="A205" s="52" t="str">
        <f t="shared" si="20"/>
        <v xml:space="preserve">    - гидравлические испытания пожарных рукавов</v>
      </c>
      <c r="B205" s="52" t="str">
        <f t="shared" si="20"/>
        <v>244</v>
      </c>
      <c r="C205" s="52" t="str">
        <f t="shared" si="20"/>
        <v>225</v>
      </c>
      <c r="D205" s="53"/>
      <c r="E205" s="54">
        <f>'Приложение 4,5,6 расходы'!V387</f>
        <v>0</v>
      </c>
      <c r="F205" s="54"/>
      <c r="G205" s="54"/>
      <c r="I205" s="56"/>
      <c r="R205" s="54"/>
      <c r="S205" s="54"/>
      <c r="T205" s="54"/>
      <c r="U205" s="54">
        <f t="shared" ref="U205:U268" si="21">E205-R205</f>
        <v>0</v>
      </c>
      <c r="V205" s="54">
        <f t="shared" ref="V205:V268" si="22">F205-S205</f>
        <v>0</v>
      </c>
      <c r="W205" s="54">
        <f t="shared" ref="W205:W268" si="23">G205-T205</f>
        <v>0</v>
      </c>
    </row>
    <row r="206" spans="1:23" hidden="1" x14ac:dyDescent="0.25">
      <c r="A206" s="52" t="str">
        <f t="shared" si="20"/>
        <v xml:space="preserve">    - монтаж уличного освещения</v>
      </c>
      <c r="B206" s="52" t="str">
        <f t="shared" si="20"/>
        <v>244</v>
      </c>
      <c r="C206" s="52" t="str">
        <f t="shared" si="20"/>
        <v>225</v>
      </c>
      <c r="D206" s="53"/>
      <c r="E206" s="54">
        <f>'Приложение 4,5,6 расходы'!V418</f>
        <v>0</v>
      </c>
      <c r="F206" s="54"/>
      <c r="G206" s="54"/>
      <c r="I206" s="56"/>
      <c r="R206" s="54"/>
      <c r="S206" s="54"/>
      <c r="T206" s="54"/>
      <c r="U206" s="54">
        <f t="shared" si="21"/>
        <v>0</v>
      </c>
      <c r="V206" s="54">
        <f t="shared" si="22"/>
        <v>0</v>
      </c>
      <c r="W206" s="54">
        <f t="shared" si="23"/>
        <v>0</v>
      </c>
    </row>
    <row r="207" spans="1:23" hidden="1" x14ac:dyDescent="0.25">
      <c r="A207" s="52" t="str">
        <f t="shared" si="20"/>
        <v xml:space="preserve">    - противоклещевая обработка</v>
      </c>
      <c r="B207" s="52" t="str">
        <f t="shared" si="20"/>
        <v>244</v>
      </c>
      <c r="C207" s="52" t="str">
        <f t="shared" si="20"/>
        <v>225</v>
      </c>
      <c r="D207" s="53"/>
      <c r="E207" s="54">
        <f>'Приложение 4,5,6 расходы'!V361</f>
        <v>0</v>
      </c>
      <c r="F207" s="54"/>
      <c r="G207" s="54"/>
      <c r="I207" s="56"/>
      <c r="R207" s="54"/>
      <c r="S207" s="54"/>
      <c r="T207" s="54"/>
      <c r="U207" s="54">
        <f t="shared" si="21"/>
        <v>0</v>
      </c>
      <c r="V207" s="54">
        <f t="shared" si="22"/>
        <v>0</v>
      </c>
      <c r="W207" s="54">
        <f t="shared" si="23"/>
        <v>0</v>
      </c>
    </row>
    <row r="208" spans="1:23" hidden="1" x14ac:dyDescent="0.25">
      <c r="A208" s="52" t="str">
        <f t="shared" si="20"/>
        <v xml:space="preserve">    - сервисное обслуживание приборов тепла</v>
      </c>
      <c r="B208" s="52" t="str">
        <f t="shared" si="20"/>
        <v>244</v>
      </c>
      <c r="C208" s="52" t="str">
        <f t="shared" si="20"/>
        <v>225</v>
      </c>
      <c r="D208" s="53"/>
      <c r="E208" s="54"/>
      <c r="F208" s="54"/>
      <c r="G208" s="54"/>
      <c r="I208" s="56"/>
      <c r="R208" s="54"/>
      <c r="S208" s="54"/>
      <c r="T208" s="54"/>
      <c r="U208" s="54">
        <f t="shared" si="21"/>
        <v>0</v>
      </c>
      <c r="V208" s="54">
        <f t="shared" si="22"/>
        <v>0</v>
      </c>
      <c r="W208" s="54">
        <f t="shared" si="23"/>
        <v>0</v>
      </c>
    </row>
    <row r="209" spans="1:23" s="45" customFormat="1" x14ac:dyDescent="0.25">
      <c r="A209" s="52" t="str">
        <f t="shared" si="20"/>
        <v xml:space="preserve"> - прочие работы, услуги, всего:</v>
      </c>
      <c r="B209" s="52" t="str">
        <f t="shared" si="20"/>
        <v>244</v>
      </c>
      <c r="C209" s="52" t="str">
        <f t="shared" si="20"/>
        <v>226</v>
      </c>
      <c r="D209" s="104"/>
      <c r="E209" s="837">
        <f>SUM(E210:E225)+80000</f>
        <v>150674.29999999999</v>
      </c>
      <c r="F209" s="62">
        <f>SUM(F210:F225)</f>
        <v>42663</v>
      </c>
      <c r="G209" s="62">
        <f>SUM(G210:G225)</f>
        <v>42663</v>
      </c>
      <c r="H209" s="63"/>
      <c r="I209" s="63"/>
      <c r="R209" s="62"/>
      <c r="S209" s="62"/>
      <c r="T209" s="62"/>
      <c r="U209" s="62">
        <f t="shared" si="21"/>
        <v>150674.29999999999</v>
      </c>
      <c r="V209" s="62">
        <f t="shared" si="22"/>
        <v>42663</v>
      </c>
      <c r="W209" s="62">
        <f t="shared" si="23"/>
        <v>42663</v>
      </c>
    </row>
    <row r="210" spans="1:23" s="58" customFormat="1" hidden="1" x14ac:dyDescent="0.25">
      <c r="A210" s="52" t="str">
        <f t="shared" si="20"/>
        <v xml:space="preserve">    - специальная оценка условий труда</v>
      </c>
      <c r="B210" s="52" t="str">
        <f t="shared" si="20"/>
        <v>244</v>
      </c>
      <c r="C210" s="52" t="str">
        <f t="shared" si="20"/>
        <v>226</v>
      </c>
      <c r="D210" s="53" t="s">
        <v>268</v>
      </c>
      <c r="E210" s="54">
        <f>'Приложение 4,5,6 расходы'!V431</f>
        <v>0</v>
      </c>
      <c r="F210" s="54"/>
      <c r="G210" s="54"/>
      <c r="H210" s="49"/>
      <c r="I210" s="56"/>
      <c r="R210" s="54"/>
      <c r="S210" s="54"/>
      <c r="T210" s="54"/>
      <c r="U210" s="54">
        <f t="shared" si="21"/>
        <v>0</v>
      </c>
      <c r="V210" s="54">
        <f t="shared" si="22"/>
        <v>0</v>
      </c>
      <c r="W210" s="54">
        <f t="shared" si="23"/>
        <v>0</v>
      </c>
    </row>
    <row r="211" spans="1:23" s="58" customFormat="1" ht="27.6" hidden="1" x14ac:dyDescent="0.25">
      <c r="A211" s="52" t="str">
        <f t="shared" ref="A211:C230" si="24">A121</f>
        <v xml:space="preserve">    - услуги автотранспорта (доставка строительных материалов, вывоз веток и пр.)</v>
      </c>
      <c r="B211" s="52" t="str">
        <f t="shared" si="24"/>
        <v>244</v>
      </c>
      <c r="C211" s="52" t="str">
        <f t="shared" si="24"/>
        <v>226</v>
      </c>
      <c r="D211" s="53" t="s">
        <v>268</v>
      </c>
      <c r="E211" s="54">
        <f>'Приложение 4,5,6 расходы'!V489</f>
        <v>0</v>
      </c>
      <c r="F211" s="54"/>
      <c r="G211" s="54"/>
      <c r="H211" s="49"/>
      <c r="I211" s="56"/>
      <c r="R211" s="54"/>
      <c r="S211" s="54"/>
      <c r="T211" s="54"/>
      <c r="U211" s="54">
        <f t="shared" si="21"/>
        <v>0</v>
      </c>
      <c r="V211" s="54">
        <f t="shared" si="22"/>
        <v>0</v>
      </c>
      <c r="W211" s="54">
        <f t="shared" si="23"/>
        <v>0</v>
      </c>
    </row>
    <row r="212" spans="1:23" s="58" customFormat="1" hidden="1" x14ac:dyDescent="0.25">
      <c r="A212" s="52" t="str">
        <f t="shared" si="24"/>
        <v xml:space="preserve">    - ПО (СБИС)</v>
      </c>
      <c r="B212" s="52" t="str">
        <f t="shared" si="24"/>
        <v>244</v>
      </c>
      <c r="C212" s="52" t="str">
        <f t="shared" si="24"/>
        <v>226</v>
      </c>
      <c r="D212" s="53" t="s">
        <v>268</v>
      </c>
      <c r="E212" s="54">
        <f>'Приложение 4,5,6 расходы'!V478</f>
        <v>0</v>
      </c>
      <c r="F212" s="54"/>
      <c r="G212" s="54"/>
      <c r="H212" s="49"/>
      <c r="I212" s="56"/>
      <c r="R212" s="54"/>
      <c r="S212" s="54"/>
      <c r="T212" s="54"/>
      <c r="U212" s="54">
        <f t="shared" si="21"/>
        <v>0</v>
      </c>
      <c r="V212" s="54">
        <f t="shared" si="22"/>
        <v>0</v>
      </c>
      <c r="W212" s="54">
        <f t="shared" si="23"/>
        <v>0</v>
      </c>
    </row>
    <row r="213" spans="1:23" s="58" customFormat="1" hidden="1" x14ac:dyDescent="0.25">
      <c r="A213" s="52" t="str">
        <f t="shared" si="24"/>
        <v xml:space="preserve">    - организация питания</v>
      </c>
      <c r="B213" s="52" t="str">
        <f t="shared" si="24"/>
        <v>244</v>
      </c>
      <c r="C213" s="52" t="str">
        <f t="shared" si="24"/>
        <v>226</v>
      </c>
      <c r="D213" s="53" t="s">
        <v>268</v>
      </c>
      <c r="E213" s="54">
        <f>'Приложение 4,5,6 расходы'!V470</f>
        <v>0</v>
      </c>
      <c r="F213" s="54"/>
      <c r="G213" s="54"/>
      <c r="H213" s="49"/>
      <c r="I213" s="56"/>
      <c r="R213" s="54"/>
      <c r="S213" s="54"/>
      <c r="T213" s="54"/>
      <c r="U213" s="54">
        <f t="shared" si="21"/>
        <v>0</v>
      </c>
      <c r="V213" s="54">
        <f t="shared" si="22"/>
        <v>0</v>
      </c>
      <c r="W213" s="54">
        <f t="shared" si="23"/>
        <v>0</v>
      </c>
    </row>
    <row r="214" spans="1:23" s="58" customFormat="1" ht="27.6" hidden="1" x14ac:dyDescent="0.25">
      <c r="A214" s="52" t="str">
        <f t="shared" si="24"/>
        <v xml:space="preserve">    - расчет проектно-сметной документации (ремонт крыльца, речевое оповещение)</v>
      </c>
      <c r="B214" s="52" t="str">
        <f t="shared" si="24"/>
        <v>244</v>
      </c>
      <c r="C214" s="52" t="str">
        <f t="shared" si="24"/>
        <v>226</v>
      </c>
      <c r="D214" s="53" t="s">
        <v>268</v>
      </c>
      <c r="E214" s="54">
        <f>'Приложение 4,5,6 расходы'!V475</f>
        <v>0</v>
      </c>
      <c r="F214" s="54"/>
      <c r="G214" s="54"/>
      <c r="H214" s="49"/>
      <c r="I214" s="56"/>
      <c r="R214" s="54"/>
      <c r="S214" s="54"/>
      <c r="T214" s="54"/>
      <c r="U214" s="54">
        <f t="shared" si="21"/>
        <v>0</v>
      </c>
      <c r="V214" s="54">
        <f t="shared" si="22"/>
        <v>0</v>
      </c>
      <c r="W214" s="54">
        <f t="shared" si="23"/>
        <v>0</v>
      </c>
    </row>
    <row r="215" spans="1:23" s="58" customFormat="1" x14ac:dyDescent="0.25">
      <c r="A215" s="52" t="str">
        <f t="shared" si="24"/>
        <v xml:space="preserve">    - оплата услуг бухгалтерии</v>
      </c>
      <c r="B215" s="52" t="str">
        <f t="shared" si="24"/>
        <v>244</v>
      </c>
      <c r="C215" s="52" t="str">
        <f t="shared" si="24"/>
        <v>226</v>
      </c>
      <c r="D215" s="53" t="s">
        <v>268</v>
      </c>
      <c r="E215" s="818">
        <f>33860+7469.28</f>
        <v>41329.279999999999</v>
      </c>
      <c r="F215" s="818">
        <v>33860</v>
      </c>
      <c r="G215" s="818">
        <v>33860</v>
      </c>
      <c r="H215" s="49"/>
      <c r="I215" s="56"/>
      <c r="R215" s="54"/>
      <c r="S215" s="54"/>
      <c r="T215" s="54"/>
      <c r="U215" s="54">
        <f t="shared" si="21"/>
        <v>41329.279999999999</v>
      </c>
      <c r="V215" s="54">
        <f t="shared" si="22"/>
        <v>33860</v>
      </c>
      <c r="W215" s="54">
        <f t="shared" si="23"/>
        <v>33860</v>
      </c>
    </row>
    <row r="216" spans="1:23" s="58" customFormat="1" x14ac:dyDescent="0.25">
      <c r="A216" s="52" t="str">
        <f t="shared" si="24"/>
        <v xml:space="preserve">    - услуги банка</v>
      </c>
      <c r="B216" s="52" t="str">
        <f t="shared" si="24"/>
        <v>244</v>
      </c>
      <c r="C216" s="52" t="str">
        <f t="shared" si="24"/>
        <v>226</v>
      </c>
      <c r="D216" s="53" t="s">
        <v>268</v>
      </c>
      <c r="E216" s="818">
        <f>8803+1942.02</f>
        <v>10745.02</v>
      </c>
      <c r="F216" s="818">
        <v>8803</v>
      </c>
      <c r="G216" s="818">
        <v>8803</v>
      </c>
      <c r="H216" s="49"/>
      <c r="I216" s="56"/>
      <c r="R216" s="54"/>
      <c r="S216" s="54"/>
      <c r="T216" s="54"/>
      <c r="U216" s="54">
        <f t="shared" si="21"/>
        <v>10745.02</v>
      </c>
      <c r="V216" s="54">
        <f t="shared" si="22"/>
        <v>8803</v>
      </c>
      <c r="W216" s="54">
        <f t="shared" si="23"/>
        <v>8803</v>
      </c>
    </row>
    <row r="217" spans="1:23" s="58" customFormat="1" x14ac:dyDescent="0.25">
      <c r="A217" s="52" t="str">
        <f t="shared" si="24"/>
        <v xml:space="preserve">    - обслуживание компьютерных программ</v>
      </c>
      <c r="B217" s="52" t="str">
        <f t="shared" si="24"/>
        <v>244</v>
      </c>
      <c r="C217" s="52" t="str">
        <f t="shared" si="24"/>
        <v>226</v>
      </c>
      <c r="D217" s="53" t="s">
        <v>268</v>
      </c>
      <c r="E217" s="54">
        <v>3600</v>
      </c>
      <c r="F217" s="54"/>
      <c r="G217" s="54"/>
      <c r="H217" s="49"/>
      <c r="I217" s="56"/>
      <c r="R217" s="54"/>
      <c r="S217" s="54"/>
      <c r="T217" s="54"/>
      <c r="U217" s="54">
        <f t="shared" si="21"/>
        <v>3600</v>
      </c>
      <c r="V217" s="54">
        <f t="shared" si="22"/>
        <v>0</v>
      </c>
      <c r="W217" s="54">
        <f t="shared" si="23"/>
        <v>0</v>
      </c>
    </row>
    <row r="218" spans="1:23" hidden="1" x14ac:dyDescent="0.25">
      <c r="A218" s="52" t="str">
        <f t="shared" si="24"/>
        <v xml:space="preserve">    - установка сигнализации</v>
      </c>
      <c r="B218" s="52" t="str">
        <f t="shared" si="24"/>
        <v>244</v>
      </c>
      <c r="C218" s="52" t="str">
        <f t="shared" si="24"/>
        <v>226</v>
      </c>
      <c r="D218" s="53" t="s">
        <v>268</v>
      </c>
      <c r="E218" s="54"/>
      <c r="F218" s="54"/>
      <c r="G218" s="54"/>
      <c r="I218" s="56"/>
      <c r="R218" s="54"/>
      <c r="S218" s="54"/>
      <c r="T218" s="54"/>
      <c r="U218" s="54">
        <f t="shared" si="21"/>
        <v>0</v>
      </c>
      <c r="V218" s="54">
        <f t="shared" si="22"/>
        <v>0</v>
      </c>
      <c r="W218" s="54">
        <f t="shared" si="23"/>
        <v>0</v>
      </c>
    </row>
    <row r="219" spans="1:23" x14ac:dyDescent="0.25">
      <c r="A219" s="52" t="str">
        <f t="shared" si="24"/>
        <v xml:space="preserve">    - оказание консалтинговых услуг</v>
      </c>
      <c r="B219" s="52" t="str">
        <f t="shared" si="24"/>
        <v>244</v>
      </c>
      <c r="C219" s="52" t="str">
        <f t="shared" si="24"/>
        <v>226</v>
      </c>
      <c r="D219" s="53" t="s">
        <v>268</v>
      </c>
      <c r="E219" s="54">
        <v>15000</v>
      </c>
      <c r="F219" s="54"/>
      <c r="G219" s="54"/>
      <c r="I219" s="56"/>
      <c r="R219" s="54"/>
      <c r="S219" s="54"/>
      <c r="T219" s="54"/>
      <c r="U219" s="54">
        <f t="shared" si="21"/>
        <v>15000</v>
      </c>
      <c r="V219" s="54">
        <f t="shared" si="22"/>
        <v>0</v>
      </c>
      <c r="W219" s="54">
        <f t="shared" si="23"/>
        <v>0</v>
      </c>
    </row>
    <row r="220" spans="1:23" ht="27.6" hidden="1" x14ac:dyDescent="0.25">
      <c r="A220" s="52" t="str">
        <f t="shared" si="24"/>
        <v xml:space="preserve">    - монтаж решетчатой металлической двери в тепловом узле</v>
      </c>
      <c r="B220" s="52" t="str">
        <f t="shared" si="24"/>
        <v>244</v>
      </c>
      <c r="C220" s="52" t="str">
        <f t="shared" si="24"/>
        <v>226</v>
      </c>
      <c r="D220" s="53" t="s">
        <v>268</v>
      </c>
      <c r="E220" s="54"/>
      <c r="F220" s="54"/>
      <c r="G220" s="54"/>
      <c r="I220" s="56"/>
      <c r="R220" s="54"/>
      <c r="S220" s="54"/>
      <c r="T220" s="54"/>
      <c r="U220" s="54">
        <f t="shared" si="21"/>
        <v>0</v>
      </c>
      <c r="V220" s="54">
        <f t="shared" si="22"/>
        <v>0</v>
      </c>
      <c r="W220" s="54">
        <f t="shared" si="23"/>
        <v>0</v>
      </c>
    </row>
    <row r="221" spans="1:23" hidden="1" x14ac:dyDescent="0.25">
      <c r="A221" s="52" t="str">
        <f t="shared" si="24"/>
        <v xml:space="preserve">    - мониторинг охранно-пожарной сигнализации</v>
      </c>
      <c r="B221" s="52" t="str">
        <f t="shared" si="24"/>
        <v>244</v>
      </c>
      <c r="C221" s="52" t="str">
        <f t="shared" si="24"/>
        <v>226</v>
      </c>
      <c r="D221" s="53" t="s">
        <v>268</v>
      </c>
      <c r="E221" s="54"/>
      <c r="F221" s="54"/>
      <c r="G221" s="54"/>
      <c r="I221" s="56"/>
      <c r="R221" s="54"/>
      <c r="S221" s="54"/>
      <c r="T221" s="54"/>
      <c r="U221" s="54">
        <f t="shared" si="21"/>
        <v>0</v>
      </c>
      <c r="V221" s="54">
        <f t="shared" si="22"/>
        <v>0</v>
      </c>
      <c r="W221" s="54">
        <f t="shared" si="23"/>
        <v>0</v>
      </c>
    </row>
    <row r="222" spans="1:23" hidden="1" x14ac:dyDescent="0.25">
      <c r="A222" s="52" t="str">
        <f t="shared" si="24"/>
        <v xml:space="preserve">    - переплет документов</v>
      </c>
      <c r="B222" s="52" t="str">
        <f t="shared" si="24"/>
        <v>244</v>
      </c>
      <c r="C222" s="52" t="str">
        <f t="shared" si="24"/>
        <v>226</v>
      </c>
      <c r="D222" s="53" t="s">
        <v>399</v>
      </c>
      <c r="E222" s="54">
        <f>'Приложение 4,5,6 расходы'!V439</f>
        <v>0</v>
      </c>
      <c r="F222" s="54"/>
      <c r="G222" s="54"/>
      <c r="I222" s="56"/>
      <c r="R222" s="54"/>
      <c r="S222" s="54"/>
      <c r="T222" s="54"/>
      <c r="U222" s="54">
        <f t="shared" si="21"/>
        <v>0</v>
      </c>
      <c r="V222" s="54">
        <f t="shared" si="22"/>
        <v>0</v>
      </c>
      <c r="W222" s="54">
        <f t="shared" si="23"/>
        <v>0</v>
      </c>
    </row>
    <row r="223" spans="1:23" hidden="1" x14ac:dyDescent="0.25">
      <c r="A223" s="52" t="str">
        <f t="shared" si="24"/>
        <v xml:space="preserve">    - вневедомственная охрана</v>
      </c>
      <c r="B223" s="52" t="str">
        <f t="shared" si="24"/>
        <v>244</v>
      </c>
      <c r="C223" s="52" t="str">
        <f t="shared" si="24"/>
        <v>226</v>
      </c>
      <c r="D223" s="53" t="s">
        <v>268</v>
      </c>
      <c r="E223" s="54"/>
      <c r="F223" s="54"/>
      <c r="G223" s="54"/>
      <c r="I223" s="56"/>
      <c r="R223" s="54"/>
      <c r="S223" s="54"/>
      <c r="T223" s="54"/>
      <c r="U223" s="54">
        <f t="shared" si="21"/>
        <v>0</v>
      </c>
      <c r="V223" s="54">
        <f t="shared" si="22"/>
        <v>0</v>
      </c>
      <c r="W223" s="54">
        <f t="shared" si="23"/>
        <v>0</v>
      </c>
    </row>
    <row r="224" spans="1:23" hidden="1" x14ac:dyDescent="0.25">
      <c r="A224" s="52" t="str">
        <f t="shared" si="24"/>
        <v xml:space="preserve">    - лицензированная охрана</v>
      </c>
      <c r="B224" s="52" t="str">
        <f t="shared" si="24"/>
        <v>244</v>
      </c>
      <c r="C224" s="52" t="str">
        <f t="shared" si="24"/>
        <v>226</v>
      </c>
      <c r="D224" s="53" t="s">
        <v>268</v>
      </c>
      <c r="E224" s="54"/>
      <c r="F224" s="54"/>
      <c r="G224" s="54"/>
      <c r="I224" s="56"/>
      <c r="R224" s="54"/>
      <c r="S224" s="54"/>
      <c r="T224" s="54"/>
      <c r="U224" s="54">
        <f t="shared" si="21"/>
        <v>0</v>
      </c>
      <c r="V224" s="54">
        <f t="shared" si="22"/>
        <v>0</v>
      </c>
      <c r="W224" s="54">
        <f t="shared" si="23"/>
        <v>0</v>
      </c>
    </row>
    <row r="225" spans="1:23" hidden="1" x14ac:dyDescent="0.25">
      <c r="A225" s="52" t="str">
        <f t="shared" si="24"/>
        <v xml:space="preserve">    - курсы повышения квалификации</v>
      </c>
      <c r="B225" s="52" t="str">
        <f t="shared" si="24"/>
        <v>244</v>
      </c>
      <c r="C225" s="52" t="str">
        <f t="shared" si="24"/>
        <v>226</v>
      </c>
      <c r="D225" s="53" t="s">
        <v>268</v>
      </c>
      <c r="E225" s="54">
        <f>'Приложение 4,5,6 расходы'!V428</f>
        <v>0</v>
      </c>
      <c r="F225" s="54"/>
      <c r="G225" s="54"/>
      <c r="I225" s="56"/>
      <c r="R225" s="54"/>
      <c r="S225" s="54"/>
      <c r="T225" s="54"/>
      <c r="U225" s="54">
        <f t="shared" si="21"/>
        <v>0</v>
      </c>
      <c r="V225" s="54">
        <f t="shared" si="22"/>
        <v>0</v>
      </c>
      <c r="W225" s="54">
        <f t="shared" si="23"/>
        <v>0</v>
      </c>
    </row>
    <row r="226" spans="1:23" hidden="1" x14ac:dyDescent="0.25">
      <c r="A226" s="52" t="str">
        <f t="shared" si="24"/>
        <v xml:space="preserve">    - монтаж охранно-пожарной сигнализации</v>
      </c>
      <c r="B226" s="52" t="str">
        <f t="shared" si="24"/>
        <v>244</v>
      </c>
      <c r="C226" s="52" t="str">
        <f t="shared" si="24"/>
        <v>228</v>
      </c>
      <c r="D226" s="53" t="s">
        <v>268</v>
      </c>
      <c r="E226" s="54">
        <f>'Приложение 4,5,6 расходы'!V492</f>
        <v>0</v>
      </c>
      <c r="F226" s="54"/>
      <c r="G226" s="54"/>
      <c r="I226" s="56"/>
      <c r="R226" s="54"/>
      <c r="S226" s="54"/>
      <c r="T226" s="54"/>
      <c r="U226" s="54">
        <f t="shared" si="21"/>
        <v>0</v>
      </c>
      <c r="V226" s="54">
        <f t="shared" si="22"/>
        <v>0</v>
      </c>
      <c r="W226" s="54">
        <f t="shared" si="23"/>
        <v>0</v>
      </c>
    </row>
    <row r="227" spans="1:23" ht="27.6" hidden="1" x14ac:dyDescent="0.25">
      <c r="A227" s="52" t="str">
        <f t="shared" si="24"/>
        <v xml:space="preserve"> - выплаты ув.сотрудникам и их родственникам (3 дн.б/л, МП)</v>
      </c>
      <c r="B227" s="52" t="str">
        <f t="shared" si="24"/>
        <v>321</v>
      </c>
      <c r="C227" s="52" t="str">
        <f t="shared" si="24"/>
        <v>264</v>
      </c>
      <c r="D227" s="60" t="s">
        <v>37</v>
      </c>
      <c r="E227" s="54"/>
      <c r="F227" s="54"/>
      <c r="G227" s="54"/>
      <c r="I227" s="56"/>
      <c r="R227" s="54"/>
      <c r="S227" s="54"/>
      <c r="T227" s="54"/>
      <c r="U227" s="54">
        <f t="shared" si="21"/>
        <v>0</v>
      </c>
      <c r="V227" s="54">
        <f t="shared" si="22"/>
        <v>0</v>
      </c>
      <c r="W227" s="54">
        <f t="shared" si="23"/>
        <v>0</v>
      </c>
    </row>
    <row r="228" spans="1:23" hidden="1" x14ac:dyDescent="0.25">
      <c r="A228" s="52" t="str">
        <f t="shared" si="24"/>
        <v xml:space="preserve"> - выплата МП неработающим пенсионерам</v>
      </c>
      <c r="B228" s="52" t="str">
        <f t="shared" si="24"/>
        <v>321</v>
      </c>
      <c r="C228" s="52" t="str">
        <f t="shared" si="24"/>
        <v>296</v>
      </c>
      <c r="D228" s="53" t="s">
        <v>37</v>
      </c>
      <c r="E228" s="54">
        <f>'Приложение 4,5,6 расходы'!V27</f>
        <v>0</v>
      </c>
      <c r="F228" s="54"/>
      <c r="G228" s="54"/>
      <c r="I228" s="56"/>
      <c r="R228" s="54"/>
      <c r="S228" s="54"/>
      <c r="T228" s="54"/>
      <c r="U228" s="54">
        <f t="shared" si="21"/>
        <v>0</v>
      </c>
      <c r="V228" s="54">
        <f t="shared" si="22"/>
        <v>0</v>
      </c>
      <c r="W228" s="54">
        <f t="shared" si="23"/>
        <v>0</v>
      </c>
    </row>
    <row r="229" spans="1:23" s="58" customFormat="1" hidden="1" x14ac:dyDescent="0.25">
      <c r="A229" s="52" t="str">
        <f t="shared" si="24"/>
        <v xml:space="preserve"> - прочие налоги и сборы</v>
      </c>
      <c r="B229" s="52" t="str">
        <f t="shared" si="24"/>
        <v>852</v>
      </c>
      <c r="C229" s="52" t="str">
        <f t="shared" si="24"/>
        <v>291</v>
      </c>
      <c r="D229" s="53" t="s">
        <v>37</v>
      </c>
      <c r="E229" s="54">
        <f>'Приложение 4,5,6 расходы'!V41</f>
        <v>0</v>
      </c>
      <c r="F229" s="54"/>
      <c r="G229" s="54"/>
      <c r="H229" s="57"/>
      <c r="I229" s="57"/>
      <c r="R229" s="54"/>
      <c r="S229" s="54"/>
      <c r="T229" s="54"/>
      <c r="U229" s="54">
        <f t="shared" si="21"/>
        <v>0</v>
      </c>
      <c r="V229" s="54">
        <f t="shared" si="22"/>
        <v>0</v>
      </c>
      <c r="W229" s="54">
        <f t="shared" si="23"/>
        <v>0</v>
      </c>
    </row>
    <row r="230" spans="1:23" s="58" customFormat="1" ht="41.4" x14ac:dyDescent="0.25">
      <c r="A230" s="52" t="str">
        <f t="shared" si="24"/>
        <v xml:space="preserve"> - пеня</v>
      </c>
      <c r="B230" s="52" t="str">
        <f t="shared" si="24"/>
        <v>853</v>
      </c>
      <c r="C230" s="52" t="str">
        <f t="shared" si="24"/>
        <v>292,
295,
293</v>
      </c>
      <c r="D230" s="53" t="s">
        <v>37</v>
      </c>
      <c r="E230" s="830">
        <v>3000</v>
      </c>
      <c r="F230" s="54"/>
      <c r="G230" s="54"/>
      <c r="I230" s="57"/>
      <c r="R230" s="54"/>
      <c r="S230" s="54"/>
      <c r="T230" s="54"/>
      <c r="U230" s="54">
        <f t="shared" si="21"/>
        <v>3000</v>
      </c>
      <c r="V230" s="54">
        <f t="shared" si="22"/>
        <v>0</v>
      </c>
      <c r="W230" s="54">
        <f t="shared" si="23"/>
        <v>0</v>
      </c>
    </row>
    <row r="231" spans="1:23" x14ac:dyDescent="0.25">
      <c r="A231" s="52" t="str">
        <f t="shared" ref="A231:C250" si="25">A141</f>
        <v xml:space="preserve"> - налог на имущество</v>
      </c>
      <c r="B231" s="52" t="str">
        <f t="shared" si="25"/>
        <v>851</v>
      </c>
      <c r="C231" s="52" t="str">
        <f t="shared" si="25"/>
        <v>291</v>
      </c>
      <c r="D231" s="53" t="s">
        <v>37</v>
      </c>
      <c r="E231" s="1005">
        <f>619+577+575</f>
        <v>1771</v>
      </c>
      <c r="F231" s="54"/>
      <c r="G231" s="54"/>
      <c r="H231" s="56"/>
      <c r="I231" s="56"/>
      <c r="R231" s="54"/>
      <c r="S231" s="54"/>
      <c r="T231" s="54"/>
      <c r="U231" s="54">
        <f t="shared" si="21"/>
        <v>1771</v>
      </c>
      <c r="V231" s="54">
        <f t="shared" si="22"/>
        <v>0</v>
      </c>
      <c r="W231" s="54">
        <f t="shared" si="23"/>
        <v>0</v>
      </c>
    </row>
    <row r="232" spans="1:23" ht="27.6" hidden="1" x14ac:dyDescent="0.25">
      <c r="A232" s="52" t="str">
        <f t="shared" si="25"/>
        <v xml:space="preserve"> - компенсация расходов (морального вреда) по решению суда</v>
      </c>
      <c r="B232" s="52" t="str">
        <f t="shared" si="25"/>
        <v>831</v>
      </c>
      <c r="C232" s="52" t="str">
        <f t="shared" si="25"/>
        <v>296</v>
      </c>
      <c r="D232" s="53" t="s">
        <v>37</v>
      </c>
      <c r="E232" s="54"/>
      <c r="F232" s="54"/>
      <c r="G232" s="54"/>
      <c r="H232" s="56"/>
      <c r="I232" s="56"/>
      <c r="R232" s="54"/>
      <c r="S232" s="54"/>
      <c r="T232" s="54"/>
      <c r="U232" s="54">
        <f t="shared" si="21"/>
        <v>0</v>
      </c>
      <c r="V232" s="54">
        <f t="shared" si="22"/>
        <v>0</v>
      </c>
      <c r="W232" s="54">
        <f t="shared" si="23"/>
        <v>0</v>
      </c>
    </row>
    <row r="233" spans="1:23" ht="27.6" hidden="1" x14ac:dyDescent="0.25">
      <c r="A233" s="52" t="str">
        <f t="shared" si="25"/>
        <v xml:space="preserve"> - разработка проектно-сметной документации на капитальный ремонт крыши</v>
      </c>
      <c r="B233" s="52" t="str">
        <f t="shared" si="25"/>
        <v>243</v>
      </c>
      <c r="C233" s="52" t="str">
        <f t="shared" si="25"/>
        <v>226</v>
      </c>
      <c r="D233" s="53" t="s">
        <v>37</v>
      </c>
      <c r="E233" s="54"/>
      <c r="F233" s="54"/>
      <c r="G233" s="54"/>
      <c r="H233" s="56"/>
      <c r="I233" s="56"/>
      <c r="R233" s="54"/>
      <c r="S233" s="54"/>
      <c r="T233" s="54"/>
      <c r="U233" s="54">
        <f t="shared" si="21"/>
        <v>0</v>
      </c>
      <c r="V233" s="54">
        <f t="shared" si="22"/>
        <v>0</v>
      </c>
      <c r="W233" s="54">
        <f t="shared" si="23"/>
        <v>0</v>
      </c>
    </row>
    <row r="234" spans="1:23" s="118" customFormat="1" x14ac:dyDescent="0.25">
      <c r="A234" s="115" t="str">
        <f t="shared" si="25"/>
        <v xml:space="preserve"> - увеличение стоимости основных средств</v>
      </c>
      <c r="B234" s="115" t="str">
        <f t="shared" si="25"/>
        <v>244</v>
      </c>
      <c r="C234" s="115" t="str">
        <f t="shared" si="25"/>
        <v>310</v>
      </c>
      <c r="D234" s="60"/>
      <c r="E234" s="61">
        <f>SUM(E235:E243)</f>
        <v>59531.73</v>
      </c>
      <c r="F234" s="61">
        <f>SUM(F235:F243)</f>
        <v>126637</v>
      </c>
      <c r="G234" s="61">
        <f>SUM(G235:G243)</f>
        <v>126637</v>
      </c>
      <c r="H234" s="117"/>
      <c r="I234" s="117"/>
      <c r="R234" s="61"/>
      <c r="S234" s="61"/>
      <c r="T234" s="61"/>
      <c r="U234" s="61">
        <f t="shared" si="21"/>
        <v>59531.73</v>
      </c>
      <c r="V234" s="61">
        <f t="shared" si="22"/>
        <v>126637</v>
      </c>
      <c r="W234" s="61">
        <f t="shared" si="23"/>
        <v>126637</v>
      </c>
    </row>
    <row r="235" spans="1:23" s="58" customFormat="1" hidden="1" x14ac:dyDescent="0.25">
      <c r="A235" s="64" t="str">
        <f t="shared" si="25"/>
        <v xml:space="preserve"> - компьютерная техника</v>
      </c>
      <c r="B235" s="64" t="str">
        <f t="shared" si="25"/>
        <v>244</v>
      </c>
      <c r="C235" s="64" t="str">
        <f t="shared" si="25"/>
        <v>310</v>
      </c>
      <c r="D235" s="119" t="s">
        <v>399</v>
      </c>
      <c r="E235" s="54"/>
      <c r="F235" s="120"/>
      <c r="G235" s="120"/>
      <c r="H235" s="57"/>
      <c r="I235" s="57"/>
      <c r="R235" s="120"/>
      <c r="S235" s="120"/>
      <c r="T235" s="120"/>
      <c r="U235" s="120">
        <f t="shared" si="21"/>
        <v>0</v>
      </c>
      <c r="V235" s="120">
        <f t="shared" si="22"/>
        <v>0</v>
      </c>
      <c r="W235" s="120">
        <f t="shared" si="23"/>
        <v>0</v>
      </c>
    </row>
    <row r="236" spans="1:23" s="58" customFormat="1" hidden="1" x14ac:dyDescent="0.25">
      <c r="A236" s="64" t="str">
        <f t="shared" si="25"/>
        <v xml:space="preserve"> - кондиционеры</v>
      </c>
      <c r="B236" s="64" t="str">
        <f t="shared" si="25"/>
        <v>244</v>
      </c>
      <c r="C236" s="64" t="str">
        <f t="shared" si="25"/>
        <v>310</v>
      </c>
      <c r="D236" s="119" t="s">
        <v>399</v>
      </c>
      <c r="E236" s="54"/>
      <c r="F236" s="120"/>
      <c r="G236" s="120"/>
      <c r="H236" s="57"/>
      <c r="I236" s="57"/>
      <c r="R236" s="120"/>
      <c r="S236" s="120"/>
      <c r="T236" s="120"/>
      <c r="U236" s="120">
        <f t="shared" si="21"/>
        <v>0</v>
      </c>
      <c r="V236" s="120">
        <f t="shared" si="22"/>
        <v>0</v>
      </c>
      <c r="W236" s="120">
        <f t="shared" si="23"/>
        <v>0</v>
      </c>
    </row>
    <row r="237" spans="1:23" s="58" customFormat="1" x14ac:dyDescent="0.25">
      <c r="A237" s="64" t="str">
        <f t="shared" si="25"/>
        <v xml:space="preserve"> - мебель</v>
      </c>
      <c r="B237" s="64" t="str">
        <f t="shared" si="25"/>
        <v>244</v>
      </c>
      <c r="C237" s="64" t="str">
        <f t="shared" si="25"/>
        <v>310</v>
      </c>
      <c r="D237" s="119" t="s">
        <v>268</v>
      </c>
      <c r="E237" s="830">
        <f>126637+27934.7-300-3600-15000-619+63800-80000-21675.01-10768.8-27.91-26849.25</f>
        <v>59531.73</v>
      </c>
      <c r="F237" s="818">
        <v>126637</v>
      </c>
      <c r="G237" s="818">
        <v>126637</v>
      </c>
      <c r="H237" s="57"/>
      <c r="I237" s="57"/>
      <c r="R237" s="120"/>
      <c r="S237" s="120"/>
      <c r="T237" s="120"/>
      <c r="U237" s="120">
        <f t="shared" si="21"/>
        <v>59531.73</v>
      </c>
      <c r="V237" s="120">
        <f t="shared" si="22"/>
        <v>126637</v>
      </c>
      <c r="W237" s="120">
        <f t="shared" si="23"/>
        <v>126637</v>
      </c>
    </row>
    <row r="238" spans="1:23" s="58" customFormat="1" hidden="1" x14ac:dyDescent="0.25">
      <c r="A238" s="64" t="str">
        <f t="shared" si="25"/>
        <v xml:space="preserve"> - оборудование</v>
      </c>
      <c r="B238" s="64" t="str">
        <f t="shared" si="25"/>
        <v>244</v>
      </c>
      <c r="C238" s="64" t="str">
        <f t="shared" si="25"/>
        <v>310</v>
      </c>
      <c r="D238" s="119" t="s">
        <v>399</v>
      </c>
      <c r="E238" s="54"/>
      <c r="F238" s="120"/>
      <c r="G238" s="120"/>
      <c r="H238" s="57"/>
      <c r="I238" s="57"/>
      <c r="R238" s="120"/>
      <c r="S238" s="120"/>
      <c r="T238" s="120"/>
      <c r="U238" s="120">
        <f t="shared" si="21"/>
        <v>0</v>
      </c>
      <c r="V238" s="120">
        <f t="shared" si="22"/>
        <v>0</v>
      </c>
      <c r="W238" s="120">
        <f t="shared" si="23"/>
        <v>0</v>
      </c>
    </row>
    <row r="239" spans="1:23" s="58" customFormat="1" hidden="1" x14ac:dyDescent="0.25">
      <c r="A239" s="64" t="str">
        <f t="shared" si="25"/>
        <v xml:space="preserve"> - инструмент и инвентарь</v>
      </c>
      <c r="B239" s="64" t="str">
        <f t="shared" si="25"/>
        <v>244</v>
      </c>
      <c r="C239" s="64" t="str">
        <f t="shared" si="25"/>
        <v>310</v>
      </c>
      <c r="D239" s="119" t="s">
        <v>268</v>
      </c>
      <c r="E239" s="54"/>
      <c r="F239" s="54"/>
      <c r="G239" s="54"/>
      <c r="H239" s="57"/>
      <c r="I239" s="57"/>
      <c r="R239" s="120"/>
      <c r="S239" s="120"/>
      <c r="T239" s="120"/>
      <c r="U239" s="120">
        <f t="shared" si="21"/>
        <v>0</v>
      </c>
      <c r="V239" s="120">
        <f t="shared" si="22"/>
        <v>0</v>
      </c>
      <c r="W239" s="120">
        <f t="shared" si="23"/>
        <v>0</v>
      </c>
    </row>
    <row r="240" spans="1:23" s="58" customFormat="1" hidden="1" x14ac:dyDescent="0.25">
      <c r="A240" s="64" t="str">
        <f t="shared" si="25"/>
        <v xml:space="preserve"> - турникет</v>
      </c>
      <c r="B240" s="64" t="str">
        <f t="shared" si="25"/>
        <v>244</v>
      </c>
      <c r="C240" s="64" t="str">
        <f t="shared" si="25"/>
        <v>310</v>
      </c>
      <c r="D240" s="119" t="s">
        <v>268</v>
      </c>
      <c r="E240" s="54"/>
      <c r="F240" s="120"/>
      <c r="G240" s="120"/>
      <c r="H240" s="57"/>
      <c r="I240" s="57"/>
      <c r="R240" s="120"/>
      <c r="S240" s="120"/>
      <c r="T240" s="120"/>
      <c r="U240" s="120">
        <f t="shared" si="21"/>
        <v>0</v>
      </c>
      <c r="V240" s="120">
        <f t="shared" si="22"/>
        <v>0</v>
      </c>
      <c r="W240" s="120">
        <f t="shared" si="23"/>
        <v>0</v>
      </c>
    </row>
    <row r="241" spans="1:23" s="58" customFormat="1" hidden="1" x14ac:dyDescent="0.25">
      <c r="A241" s="64" t="str">
        <f t="shared" si="25"/>
        <v xml:space="preserve"> - жалюзи</v>
      </c>
      <c r="B241" s="64" t="str">
        <f t="shared" si="25"/>
        <v>244</v>
      </c>
      <c r="C241" s="64" t="str">
        <f t="shared" si="25"/>
        <v>310</v>
      </c>
      <c r="D241" s="119" t="s">
        <v>268</v>
      </c>
      <c r="E241" s="54"/>
      <c r="F241" s="120"/>
      <c r="G241" s="120"/>
      <c r="H241" s="57"/>
      <c r="I241" s="57"/>
      <c r="R241" s="120"/>
      <c r="S241" s="120"/>
      <c r="T241" s="120"/>
      <c r="U241" s="120">
        <f t="shared" si="21"/>
        <v>0</v>
      </c>
      <c r="V241" s="120">
        <f t="shared" si="22"/>
        <v>0</v>
      </c>
      <c r="W241" s="120">
        <f t="shared" si="23"/>
        <v>0</v>
      </c>
    </row>
    <row r="242" spans="1:23" s="58" customFormat="1" ht="13.2" hidden="1" customHeight="1" x14ac:dyDescent="0.25">
      <c r="A242" s="64" t="str">
        <f t="shared" si="25"/>
        <v xml:space="preserve"> - игрушки</v>
      </c>
      <c r="B242" s="64" t="str">
        <f t="shared" si="25"/>
        <v>244</v>
      </c>
      <c r="C242" s="64" t="str">
        <f t="shared" si="25"/>
        <v>310</v>
      </c>
      <c r="D242" s="119" t="s">
        <v>268</v>
      </c>
      <c r="E242" s="120"/>
      <c r="F242" s="120"/>
      <c r="G242" s="120"/>
      <c r="H242" s="57"/>
      <c r="I242" s="57"/>
      <c r="R242" s="120"/>
      <c r="S242" s="120"/>
      <c r="T242" s="120"/>
      <c r="U242" s="120">
        <f t="shared" si="21"/>
        <v>0</v>
      </c>
      <c r="V242" s="120">
        <f t="shared" si="22"/>
        <v>0</v>
      </c>
      <c r="W242" s="120">
        <f t="shared" si="23"/>
        <v>0</v>
      </c>
    </row>
    <row r="243" spans="1:23" s="58" customFormat="1" hidden="1" x14ac:dyDescent="0.25">
      <c r="A243" s="64" t="str">
        <f t="shared" si="25"/>
        <v xml:space="preserve"> - металлические входные двери</v>
      </c>
      <c r="B243" s="64" t="str">
        <f t="shared" si="25"/>
        <v>244</v>
      </c>
      <c r="C243" s="64" t="str">
        <f t="shared" si="25"/>
        <v>310</v>
      </c>
      <c r="D243" s="119" t="s">
        <v>268</v>
      </c>
      <c r="E243" s="120"/>
      <c r="F243" s="120"/>
      <c r="G243" s="120"/>
      <c r="H243" s="57"/>
      <c r="I243" s="57"/>
      <c r="R243" s="120"/>
      <c r="S243" s="120"/>
      <c r="T243" s="120"/>
      <c r="U243" s="120">
        <f t="shared" si="21"/>
        <v>0</v>
      </c>
      <c r="V243" s="120">
        <f t="shared" si="22"/>
        <v>0</v>
      </c>
      <c r="W243" s="120">
        <f t="shared" si="23"/>
        <v>0</v>
      </c>
    </row>
    <row r="244" spans="1:23" s="45" customFormat="1" ht="27.6" x14ac:dyDescent="0.25">
      <c r="A244" s="52" t="str">
        <f t="shared" si="25"/>
        <v xml:space="preserve"> - увеличение стоимости материальных запасов, всего:</v>
      </c>
      <c r="B244" s="52" t="str">
        <f t="shared" si="25"/>
        <v>244</v>
      </c>
      <c r="C244" s="52" t="str">
        <f t="shared" si="25"/>
        <v>340</v>
      </c>
      <c r="D244" s="104"/>
      <c r="E244" s="62">
        <f>SUM(E245:E259)</f>
        <v>40590.89</v>
      </c>
      <c r="F244" s="62">
        <f>SUM(F245:F259)</f>
        <v>33860</v>
      </c>
      <c r="G244" s="62">
        <f>SUM(G245:G259)</f>
        <v>33860</v>
      </c>
      <c r="H244" s="63"/>
      <c r="I244" s="63"/>
      <c r="R244" s="62"/>
      <c r="S244" s="62"/>
      <c r="T244" s="62"/>
      <c r="U244" s="62">
        <f t="shared" si="21"/>
        <v>40590.89</v>
      </c>
      <c r="V244" s="62">
        <f t="shared" si="22"/>
        <v>33860</v>
      </c>
      <c r="W244" s="62">
        <f t="shared" si="23"/>
        <v>33860</v>
      </c>
    </row>
    <row r="245" spans="1:23" s="58" customFormat="1" hidden="1" x14ac:dyDescent="0.25">
      <c r="A245" s="52" t="str">
        <f t="shared" si="25"/>
        <v xml:space="preserve"> - ГСМ</v>
      </c>
      <c r="B245" s="52" t="str">
        <f t="shared" si="25"/>
        <v>244</v>
      </c>
      <c r="C245" s="52" t="str">
        <f t="shared" si="25"/>
        <v>343</v>
      </c>
      <c r="D245" s="53" t="s">
        <v>268</v>
      </c>
      <c r="E245" s="54">
        <f>'Приложение 4,5,6 расходы'!V654</f>
        <v>0</v>
      </c>
      <c r="F245" s="54"/>
      <c r="G245" s="54"/>
      <c r="H245" s="57"/>
      <c r="I245" s="57"/>
      <c r="R245" s="54"/>
      <c r="S245" s="54"/>
      <c r="T245" s="54"/>
      <c r="U245" s="54">
        <f t="shared" si="21"/>
        <v>0</v>
      </c>
      <c r="V245" s="54">
        <f t="shared" si="22"/>
        <v>0</v>
      </c>
      <c r="W245" s="54">
        <f t="shared" si="23"/>
        <v>0</v>
      </c>
    </row>
    <row r="246" spans="1:23" s="58" customFormat="1" hidden="1" x14ac:dyDescent="0.25">
      <c r="A246" s="52" t="str">
        <f t="shared" si="25"/>
        <v xml:space="preserve"> - продукты питания</v>
      </c>
      <c r="B246" s="52" t="str">
        <f t="shared" si="25"/>
        <v>244</v>
      </c>
      <c r="C246" s="52" t="str">
        <f t="shared" si="25"/>
        <v>342</v>
      </c>
      <c r="D246" s="53" t="s">
        <v>268</v>
      </c>
      <c r="E246" s="54">
        <f>'Приложение 4,5,6 расходы'!V594</f>
        <v>0</v>
      </c>
      <c r="F246" s="54"/>
      <c r="G246" s="54"/>
      <c r="H246" s="57"/>
      <c r="I246" s="57"/>
      <c r="R246" s="54"/>
      <c r="S246" s="54"/>
      <c r="T246" s="54"/>
      <c r="U246" s="54">
        <f t="shared" si="21"/>
        <v>0</v>
      </c>
      <c r="V246" s="54">
        <f t="shared" si="22"/>
        <v>0</v>
      </c>
      <c r="W246" s="54">
        <f t="shared" si="23"/>
        <v>0</v>
      </c>
    </row>
    <row r="247" spans="1:23" s="58" customFormat="1" hidden="1" x14ac:dyDescent="0.25">
      <c r="A247" s="52" t="str">
        <f t="shared" si="25"/>
        <v xml:space="preserve"> - расходные материалы к комп.технике</v>
      </c>
      <c r="B247" s="52" t="str">
        <f t="shared" si="25"/>
        <v>244</v>
      </c>
      <c r="C247" s="52" t="str">
        <f t="shared" si="25"/>
        <v>346</v>
      </c>
      <c r="D247" s="53" t="s">
        <v>399</v>
      </c>
      <c r="E247" s="54">
        <f>'Приложение 4,5,6 расходы'!V950</f>
        <v>0</v>
      </c>
      <c r="F247" s="54"/>
      <c r="G247" s="54"/>
      <c r="H247" s="57"/>
      <c r="I247" s="57"/>
      <c r="R247" s="54"/>
      <c r="S247" s="54"/>
      <c r="T247" s="54"/>
      <c r="U247" s="54">
        <f t="shared" si="21"/>
        <v>0</v>
      </c>
      <c r="V247" s="54">
        <f t="shared" si="22"/>
        <v>0</v>
      </c>
      <c r="W247" s="54">
        <f t="shared" si="23"/>
        <v>0</v>
      </c>
    </row>
    <row r="248" spans="1:23" s="58" customFormat="1" x14ac:dyDescent="0.25">
      <c r="A248" s="52" t="str">
        <f t="shared" si="25"/>
        <v xml:space="preserve"> - медикаменты</v>
      </c>
      <c r="B248" s="52" t="str">
        <f t="shared" si="25"/>
        <v>244</v>
      </c>
      <c r="C248" s="52" t="str">
        <f t="shared" si="25"/>
        <v>341</v>
      </c>
      <c r="D248" s="53" t="s">
        <v>268</v>
      </c>
      <c r="E248" s="832">
        <v>4000</v>
      </c>
      <c r="F248" s="54"/>
      <c r="G248" s="54"/>
      <c r="H248" s="57"/>
      <c r="I248" s="57"/>
      <c r="R248" s="54"/>
      <c r="S248" s="54"/>
      <c r="T248" s="54"/>
      <c r="U248" s="54">
        <f t="shared" si="21"/>
        <v>4000</v>
      </c>
      <c r="V248" s="54">
        <f t="shared" si="22"/>
        <v>0</v>
      </c>
      <c r="W248" s="54">
        <f t="shared" si="23"/>
        <v>0</v>
      </c>
    </row>
    <row r="249" spans="1:23" s="58" customFormat="1" hidden="1" x14ac:dyDescent="0.25">
      <c r="A249" s="52" t="str">
        <f t="shared" si="25"/>
        <v xml:space="preserve"> - строительные материалы</v>
      </c>
      <c r="B249" s="52" t="str">
        <f t="shared" si="25"/>
        <v>244</v>
      </c>
      <c r="C249" s="52" t="str">
        <f t="shared" si="25"/>
        <v>344</v>
      </c>
      <c r="D249" s="53" t="s">
        <v>268</v>
      </c>
      <c r="E249" s="54">
        <f>'Приложение 4,5,6 расходы'!V1084</f>
        <v>0</v>
      </c>
      <c r="F249" s="54"/>
      <c r="G249" s="54"/>
      <c r="H249" s="57"/>
      <c r="I249" s="57"/>
      <c r="R249" s="54"/>
      <c r="S249" s="54"/>
      <c r="T249" s="54"/>
      <c r="U249" s="54">
        <f t="shared" si="21"/>
        <v>0</v>
      </c>
      <c r="V249" s="54">
        <f t="shared" si="22"/>
        <v>0</v>
      </c>
      <c r="W249" s="54">
        <f t="shared" si="23"/>
        <v>0</v>
      </c>
    </row>
    <row r="250" spans="1:23" s="58" customFormat="1" hidden="1" x14ac:dyDescent="0.25">
      <c r="A250" s="52" t="str">
        <f t="shared" si="25"/>
        <v xml:space="preserve"> - ворота, калитка</v>
      </c>
      <c r="B250" s="52" t="str">
        <f t="shared" si="25"/>
        <v>244</v>
      </c>
      <c r="C250" s="52" t="str">
        <f t="shared" si="25"/>
        <v>344</v>
      </c>
      <c r="D250" s="53" t="s">
        <v>268</v>
      </c>
      <c r="E250" s="54">
        <f>'Приложение 4,5,6 расходы'!V1162+'Приложение 4,5,6 расходы'!V1163</f>
        <v>0</v>
      </c>
      <c r="F250" s="54"/>
      <c r="G250" s="54"/>
      <c r="H250" s="57"/>
      <c r="I250" s="57"/>
      <c r="R250" s="54"/>
      <c r="S250" s="54"/>
      <c r="T250" s="54"/>
      <c r="U250" s="54">
        <f t="shared" si="21"/>
        <v>0</v>
      </c>
      <c r="V250" s="54">
        <f t="shared" si="22"/>
        <v>0</v>
      </c>
      <c r="W250" s="54">
        <f t="shared" si="23"/>
        <v>0</v>
      </c>
    </row>
    <row r="251" spans="1:23" s="58" customFormat="1" x14ac:dyDescent="0.25">
      <c r="A251" s="52" t="str">
        <f t="shared" ref="A251:C259" si="26">A161</f>
        <v xml:space="preserve"> - канцелярские товары</v>
      </c>
      <c r="B251" s="52" t="str">
        <f t="shared" si="26"/>
        <v>244</v>
      </c>
      <c r="C251" s="52" t="str">
        <f t="shared" si="26"/>
        <v>346</v>
      </c>
      <c r="D251" s="53" t="s">
        <v>268</v>
      </c>
      <c r="E251" s="1005">
        <f>33860+7469.28-163.39-2180-12400-4000-575</f>
        <v>22010.89</v>
      </c>
      <c r="F251" s="818">
        <v>33860</v>
      </c>
      <c r="G251" s="818">
        <v>33860</v>
      </c>
      <c r="H251" s="57"/>
      <c r="I251" s="57"/>
      <c r="R251" s="54"/>
      <c r="S251" s="54"/>
      <c r="T251" s="54"/>
      <c r="U251" s="54">
        <f t="shared" si="21"/>
        <v>22010.89</v>
      </c>
      <c r="V251" s="54">
        <f t="shared" si="22"/>
        <v>33860</v>
      </c>
      <c r="W251" s="54">
        <f t="shared" si="23"/>
        <v>33860</v>
      </c>
    </row>
    <row r="252" spans="1:23" s="58" customFormat="1" hidden="1" x14ac:dyDescent="0.25">
      <c r="A252" s="52" t="str">
        <f t="shared" si="26"/>
        <v xml:space="preserve"> - хозяйственные товары, электрика</v>
      </c>
      <c r="B252" s="52" t="str">
        <f t="shared" si="26"/>
        <v>244</v>
      </c>
      <c r="C252" s="52" t="str">
        <f t="shared" si="26"/>
        <v>346</v>
      </c>
      <c r="D252" s="53" t="s">
        <v>268</v>
      </c>
      <c r="E252" s="54">
        <f>'Приложение 4,5,6 расходы'!V858</f>
        <v>0</v>
      </c>
      <c r="F252" s="54">
        <f>'Приложение 4,5,6 расходы'!W858</f>
        <v>0</v>
      </c>
      <c r="G252" s="54">
        <f>'Приложение 4,5,6 расходы'!X858</f>
        <v>0</v>
      </c>
      <c r="H252" s="57"/>
      <c r="I252" s="57"/>
      <c r="R252" s="54"/>
      <c r="S252" s="54"/>
      <c r="T252" s="54"/>
      <c r="U252" s="54">
        <f t="shared" si="21"/>
        <v>0</v>
      </c>
      <c r="V252" s="54">
        <f t="shared" si="22"/>
        <v>0</v>
      </c>
      <c r="W252" s="54">
        <f t="shared" si="23"/>
        <v>0</v>
      </c>
    </row>
    <row r="253" spans="1:23" s="58" customFormat="1" hidden="1" x14ac:dyDescent="0.25">
      <c r="A253" s="52" t="str">
        <f t="shared" si="26"/>
        <v xml:space="preserve"> - бланки</v>
      </c>
      <c r="B253" s="52" t="str">
        <f t="shared" si="26"/>
        <v>244</v>
      </c>
      <c r="C253" s="52" t="str">
        <f t="shared" si="26"/>
        <v>346</v>
      </c>
      <c r="D253" s="53" t="s">
        <v>268</v>
      </c>
      <c r="E253" s="54">
        <f>'Приложение 4,5,6 расходы'!V853</f>
        <v>0</v>
      </c>
      <c r="F253" s="54">
        <f>'Приложение 4,5,6 расходы'!W853</f>
        <v>0</v>
      </c>
      <c r="G253" s="54">
        <f>'Приложение 4,5,6 расходы'!X853</f>
        <v>0</v>
      </c>
      <c r="H253" s="57"/>
      <c r="I253" s="57"/>
      <c r="R253" s="54"/>
      <c r="S253" s="54"/>
      <c r="T253" s="54"/>
      <c r="U253" s="54">
        <f t="shared" si="21"/>
        <v>0</v>
      </c>
      <c r="V253" s="54">
        <f t="shared" si="22"/>
        <v>0</v>
      </c>
      <c r="W253" s="54">
        <f t="shared" si="23"/>
        <v>0</v>
      </c>
    </row>
    <row r="254" spans="1:23" s="58" customFormat="1" x14ac:dyDescent="0.25">
      <c r="A254" s="52" t="str">
        <f t="shared" si="26"/>
        <v xml:space="preserve"> - моющие</v>
      </c>
      <c r="B254" s="52" t="str">
        <f t="shared" si="26"/>
        <v>244</v>
      </c>
      <c r="C254" s="52" t="str">
        <f t="shared" si="26"/>
        <v>346</v>
      </c>
      <c r="D254" s="53" t="s">
        <v>268</v>
      </c>
      <c r="E254" s="54">
        <f>12400</f>
        <v>12400</v>
      </c>
      <c r="F254" s="54"/>
      <c r="G254" s="54"/>
      <c r="H254" s="57"/>
      <c r="I254" s="57"/>
      <c r="R254" s="54"/>
      <c r="S254" s="54"/>
      <c r="T254" s="54"/>
      <c r="U254" s="54">
        <f t="shared" si="21"/>
        <v>12400</v>
      </c>
      <c r="V254" s="54">
        <f t="shared" si="22"/>
        <v>0</v>
      </c>
      <c r="W254" s="54">
        <f t="shared" si="23"/>
        <v>0</v>
      </c>
    </row>
    <row r="255" spans="1:23" s="58" customFormat="1" hidden="1" x14ac:dyDescent="0.25">
      <c r="A255" s="52" t="str">
        <f t="shared" si="26"/>
        <v xml:space="preserve"> - новогодние подарки детям сотрудников</v>
      </c>
      <c r="B255" s="52" t="str">
        <f t="shared" si="26"/>
        <v>244</v>
      </c>
      <c r="C255" s="52" t="str">
        <f t="shared" si="26"/>
        <v>349</v>
      </c>
      <c r="D255" s="53" t="s">
        <v>268</v>
      </c>
      <c r="E255" s="54">
        <f>'Приложение 4,5,6 расходы'!V1170</f>
        <v>0</v>
      </c>
      <c r="F255" s="54"/>
      <c r="G255" s="54"/>
      <c r="H255" s="57"/>
      <c r="I255" s="57"/>
      <c r="R255" s="54"/>
      <c r="S255" s="54"/>
      <c r="T255" s="54"/>
      <c r="U255" s="54">
        <f t="shared" si="21"/>
        <v>0</v>
      </c>
      <c r="V255" s="54">
        <f t="shared" si="22"/>
        <v>0</v>
      </c>
      <c r="W255" s="54">
        <f t="shared" si="23"/>
        <v>0</v>
      </c>
    </row>
    <row r="256" spans="1:23" s="58" customFormat="1" hidden="1" x14ac:dyDescent="0.25">
      <c r="A256" s="52" t="str">
        <f t="shared" si="26"/>
        <v xml:space="preserve"> - новогодние подарки сотрудникам</v>
      </c>
      <c r="B256" s="52" t="str">
        <f t="shared" si="26"/>
        <v>244</v>
      </c>
      <c r="C256" s="52" t="str">
        <f t="shared" si="26"/>
        <v>349</v>
      </c>
      <c r="D256" s="53" t="s">
        <v>268</v>
      </c>
      <c r="E256" s="54">
        <f>'Приложение 4,5,6 расходы'!V1175</f>
        <v>0</v>
      </c>
      <c r="F256" s="54"/>
      <c r="G256" s="54"/>
      <c r="H256" s="57"/>
      <c r="I256" s="57"/>
      <c r="R256" s="54"/>
      <c r="S256" s="54"/>
      <c r="T256" s="54"/>
      <c r="U256" s="54">
        <f t="shared" si="21"/>
        <v>0</v>
      </c>
      <c r="V256" s="54">
        <f t="shared" si="22"/>
        <v>0</v>
      </c>
      <c r="W256" s="54">
        <f t="shared" si="23"/>
        <v>0</v>
      </c>
    </row>
    <row r="257" spans="1:23" s="58" customFormat="1" hidden="1" x14ac:dyDescent="0.25">
      <c r="A257" s="52" t="str">
        <f t="shared" si="26"/>
        <v xml:space="preserve"> - прочие материальные запасы</v>
      </c>
      <c r="B257" s="52" t="str">
        <f t="shared" si="26"/>
        <v>244</v>
      </c>
      <c r="C257" s="52" t="str">
        <f t="shared" si="26"/>
        <v>346</v>
      </c>
      <c r="D257" s="53" t="s">
        <v>268</v>
      </c>
      <c r="E257" s="54">
        <f>'Приложение 4,5,6 расходы'!V1038</f>
        <v>0</v>
      </c>
      <c r="F257" s="54"/>
      <c r="G257" s="54"/>
      <c r="H257" s="57"/>
      <c r="I257" s="57"/>
      <c r="R257" s="54"/>
      <c r="S257" s="54"/>
      <c r="T257" s="54"/>
      <c r="U257" s="54">
        <f t="shared" si="21"/>
        <v>0</v>
      </c>
      <c r="V257" s="54">
        <f t="shared" si="22"/>
        <v>0</v>
      </c>
      <c r="W257" s="54">
        <f t="shared" si="23"/>
        <v>0</v>
      </c>
    </row>
    <row r="258" spans="1:23" s="58" customFormat="1" hidden="1" x14ac:dyDescent="0.25">
      <c r="A258" s="52" t="str">
        <f t="shared" si="26"/>
        <v xml:space="preserve"> - спецодежда МОП</v>
      </c>
      <c r="B258" s="52" t="str">
        <f t="shared" si="26"/>
        <v>244</v>
      </c>
      <c r="C258" s="52" t="str">
        <f t="shared" si="26"/>
        <v>345</v>
      </c>
      <c r="D258" s="53" t="s">
        <v>268</v>
      </c>
      <c r="E258" s="54">
        <f>'Приложение 4,5,6 расходы'!V681</f>
        <v>0</v>
      </c>
      <c r="F258" s="54"/>
      <c r="G258" s="54"/>
      <c r="H258" s="57"/>
      <c r="I258" s="57"/>
      <c r="R258" s="54"/>
      <c r="S258" s="54"/>
      <c r="T258" s="54"/>
      <c r="U258" s="54">
        <f t="shared" si="21"/>
        <v>0</v>
      </c>
      <c r="V258" s="54">
        <f t="shared" si="22"/>
        <v>0</v>
      </c>
      <c r="W258" s="54">
        <f t="shared" si="23"/>
        <v>0</v>
      </c>
    </row>
    <row r="259" spans="1:23" s="58" customFormat="1" x14ac:dyDescent="0.25">
      <c r="A259" s="52" t="str">
        <f t="shared" si="26"/>
        <v xml:space="preserve"> - запчасти для а/м</v>
      </c>
      <c r="B259" s="52" t="str">
        <f t="shared" si="26"/>
        <v>244</v>
      </c>
      <c r="C259" s="52" t="str">
        <f t="shared" si="26"/>
        <v>346</v>
      </c>
      <c r="D259" s="53" t="s">
        <v>268</v>
      </c>
      <c r="E259" s="54">
        <v>2180</v>
      </c>
      <c r="F259" s="54"/>
      <c r="G259" s="54"/>
      <c r="H259" s="57"/>
      <c r="I259" s="57"/>
      <c r="R259" s="54"/>
      <c r="S259" s="54"/>
      <c r="T259" s="54"/>
      <c r="U259" s="54">
        <f t="shared" si="21"/>
        <v>2180</v>
      </c>
      <c r="V259" s="54">
        <f t="shared" si="22"/>
        <v>0</v>
      </c>
      <c r="W259" s="54">
        <f t="shared" si="23"/>
        <v>0</v>
      </c>
    </row>
    <row r="260" spans="1:23" s="45" customFormat="1" hidden="1" x14ac:dyDescent="0.25">
      <c r="A260" s="88" t="s">
        <v>343</v>
      </c>
      <c r="B260" s="68"/>
      <c r="C260" s="68"/>
      <c r="D260" s="68" t="s">
        <v>37</v>
      </c>
      <c r="E260" s="61">
        <f>SUM(E261,E262,E263,E264,E265,E266,E267,E275,E273,E299,E317,E319,E320,E321,E322,E324,E334,E271,E274,E318,E270,E272,E316,E323)</f>
        <v>0</v>
      </c>
      <c r="F260" s="61">
        <f>SUM(F261,F262,F263,F264,F265,F266,F267,F275,F273,F299,F317,F319,F320,F321,F322,F324,F334,F271,F274,F318,F270,F272,F316,F323)</f>
        <v>0</v>
      </c>
      <c r="G260" s="61">
        <f>SUM(G261,G262,G263,G264,G265,G266,G267,G275,G273,G299,G317,G319,G320,G321,G322,G324,G334,G271,G274,G318,G270,G272,G316,G323)</f>
        <v>0</v>
      </c>
      <c r="H260" s="63"/>
      <c r="R260" s="61"/>
      <c r="S260" s="61"/>
      <c r="T260" s="61"/>
      <c r="U260" s="61">
        <f t="shared" si="21"/>
        <v>0</v>
      </c>
      <c r="V260" s="61">
        <f t="shared" si="22"/>
        <v>0</v>
      </c>
      <c r="W260" s="61">
        <f t="shared" si="23"/>
        <v>0</v>
      </c>
    </row>
    <row r="261" spans="1:23" hidden="1" x14ac:dyDescent="0.25">
      <c r="A261" s="441" t="str">
        <f t="shared" ref="A261:C280" si="27">A81</f>
        <v xml:space="preserve"> - заработная плата</v>
      </c>
      <c r="B261" s="441" t="str">
        <f t="shared" si="27"/>
        <v>111</v>
      </c>
      <c r="C261" s="441" t="str">
        <f t="shared" si="27"/>
        <v>211</v>
      </c>
      <c r="D261" s="53" t="s">
        <v>37</v>
      </c>
      <c r="E261" s="54"/>
      <c r="F261" s="54"/>
      <c r="G261" s="54"/>
      <c r="H261" s="56"/>
      <c r="R261" s="54"/>
      <c r="S261" s="54"/>
      <c r="T261" s="54"/>
      <c r="U261" s="54">
        <f t="shared" si="21"/>
        <v>0</v>
      </c>
      <c r="V261" s="54">
        <f t="shared" si="22"/>
        <v>0</v>
      </c>
      <c r="W261" s="54">
        <f t="shared" si="23"/>
        <v>0</v>
      </c>
    </row>
    <row r="262" spans="1:23" hidden="1" x14ac:dyDescent="0.25">
      <c r="A262" s="52" t="str">
        <f t="shared" si="27"/>
        <v xml:space="preserve"> - 3 дн б/л за счет работодателя</v>
      </c>
      <c r="B262" s="52" t="str">
        <f t="shared" si="27"/>
        <v>111</v>
      </c>
      <c r="C262" s="52" t="str">
        <f t="shared" si="27"/>
        <v>266</v>
      </c>
      <c r="D262" s="53" t="s">
        <v>37</v>
      </c>
      <c r="E262" s="54"/>
      <c r="F262" s="54"/>
      <c r="G262" s="54"/>
      <c r="H262" s="56"/>
      <c r="R262" s="54"/>
      <c r="S262" s="54"/>
      <c r="T262" s="54"/>
      <c r="U262" s="54">
        <f t="shared" si="21"/>
        <v>0</v>
      </c>
      <c r="V262" s="54">
        <f t="shared" si="22"/>
        <v>0</v>
      </c>
      <c r="W262" s="54">
        <f t="shared" si="23"/>
        <v>0</v>
      </c>
    </row>
    <row r="263" spans="1:23" s="58" customFormat="1" hidden="1" x14ac:dyDescent="0.25">
      <c r="A263" s="52" t="str">
        <f t="shared" si="27"/>
        <v xml:space="preserve"> - пособие по уходу за ребенком</v>
      </c>
      <c r="B263" s="52" t="str">
        <f t="shared" si="27"/>
        <v>112</v>
      </c>
      <c r="C263" s="52" t="str">
        <f t="shared" si="27"/>
        <v>266</v>
      </c>
      <c r="D263" s="53" t="s">
        <v>37</v>
      </c>
      <c r="E263" s="54"/>
      <c r="F263" s="54"/>
      <c r="G263" s="54"/>
      <c r="H263" s="57"/>
      <c r="I263" s="57"/>
      <c r="R263" s="54"/>
      <c r="S263" s="54"/>
      <c r="T263" s="54"/>
      <c r="U263" s="54">
        <f t="shared" si="21"/>
        <v>0</v>
      </c>
      <c r="V263" s="54">
        <f t="shared" si="22"/>
        <v>0</v>
      </c>
      <c r="W263" s="54">
        <f t="shared" si="23"/>
        <v>0</v>
      </c>
    </row>
    <row r="264" spans="1:23" s="58" customFormat="1" hidden="1" x14ac:dyDescent="0.25">
      <c r="A264" s="52" t="str">
        <f t="shared" si="27"/>
        <v xml:space="preserve"> - предварительный мед.осмотр (возм.расх.)</v>
      </c>
      <c r="B264" s="52" t="str">
        <f t="shared" si="27"/>
        <v>112</v>
      </c>
      <c r="C264" s="52" t="str">
        <f t="shared" si="27"/>
        <v>226</v>
      </c>
      <c r="D264" s="53" t="s">
        <v>37</v>
      </c>
      <c r="E264" s="54"/>
      <c r="F264" s="54"/>
      <c r="G264" s="54"/>
      <c r="H264" s="57"/>
      <c r="I264" s="57"/>
      <c r="R264" s="54"/>
      <c r="S264" s="54"/>
      <c r="T264" s="54"/>
      <c r="U264" s="54">
        <f t="shared" si="21"/>
        <v>0</v>
      </c>
      <c r="V264" s="54">
        <f t="shared" si="22"/>
        <v>0</v>
      </c>
      <c r="W264" s="54">
        <f t="shared" si="23"/>
        <v>0</v>
      </c>
    </row>
    <row r="265" spans="1:23" s="58" customFormat="1" hidden="1" x14ac:dyDescent="0.25">
      <c r="A265" s="52" t="str">
        <f t="shared" si="27"/>
        <v xml:space="preserve"> - НДФЛ</v>
      </c>
      <c r="B265" s="52" t="str">
        <f t="shared" si="27"/>
        <v>112</v>
      </c>
      <c r="C265" s="52" t="str">
        <f t="shared" si="27"/>
        <v>266</v>
      </c>
      <c r="D265" s="53" t="s">
        <v>37</v>
      </c>
      <c r="E265" s="54"/>
      <c r="F265" s="54"/>
      <c r="G265" s="54"/>
      <c r="H265" s="57"/>
      <c r="I265" s="57"/>
      <c r="R265" s="54"/>
      <c r="S265" s="54"/>
      <c r="T265" s="54"/>
      <c r="U265" s="54">
        <f t="shared" si="21"/>
        <v>0</v>
      </c>
      <c r="V265" s="54">
        <f t="shared" si="22"/>
        <v>0</v>
      </c>
      <c r="W265" s="54">
        <f t="shared" si="23"/>
        <v>0</v>
      </c>
    </row>
    <row r="266" spans="1:23" hidden="1" x14ac:dyDescent="0.25">
      <c r="A266" s="52" t="str">
        <f t="shared" si="27"/>
        <v xml:space="preserve"> - начисления на оплату труда</v>
      </c>
      <c r="B266" s="52" t="str">
        <f t="shared" si="27"/>
        <v>119</v>
      </c>
      <c r="C266" s="52" t="str">
        <f t="shared" si="27"/>
        <v>213</v>
      </c>
      <c r="D266" s="53" t="s">
        <v>37</v>
      </c>
      <c r="E266" s="54"/>
      <c r="F266" s="54"/>
      <c r="G266" s="54"/>
      <c r="H266" s="56"/>
      <c r="R266" s="54"/>
      <c r="S266" s="54"/>
      <c r="T266" s="54"/>
      <c r="U266" s="54">
        <f t="shared" si="21"/>
        <v>0</v>
      </c>
      <c r="V266" s="54">
        <f t="shared" si="22"/>
        <v>0</v>
      </c>
      <c r="W266" s="54">
        <f t="shared" si="23"/>
        <v>0</v>
      </c>
    </row>
    <row r="267" spans="1:23" s="45" customFormat="1" hidden="1" x14ac:dyDescent="0.25">
      <c r="A267" s="52" t="str">
        <f t="shared" si="27"/>
        <v xml:space="preserve"> - услуги связи, всего:</v>
      </c>
      <c r="B267" s="52" t="str">
        <f t="shared" si="27"/>
        <v>244</v>
      </c>
      <c r="C267" s="52" t="str">
        <f t="shared" si="27"/>
        <v>221</v>
      </c>
      <c r="D267" s="60"/>
      <c r="E267" s="61">
        <f>SUM(E268:E269)</f>
        <v>0</v>
      </c>
      <c r="F267" s="61">
        <f>SUM(F268:F269)</f>
        <v>0</v>
      </c>
      <c r="G267" s="61">
        <f>SUM(G268:G269)</f>
        <v>0</v>
      </c>
      <c r="H267" s="63"/>
      <c r="R267" s="61"/>
      <c r="S267" s="61"/>
      <c r="T267" s="61"/>
      <c r="U267" s="61">
        <f t="shared" si="21"/>
        <v>0</v>
      </c>
      <c r="V267" s="61">
        <f t="shared" si="22"/>
        <v>0</v>
      </c>
      <c r="W267" s="61">
        <f t="shared" si="23"/>
        <v>0</v>
      </c>
    </row>
    <row r="268" spans="1:23" ht="27.6" hidden="1" x14ac:dyDescent="0.25">
      <c r="A268" s="52" t="str">
        <f t="shared" si="27"/>
        <v xml:space="preserve">   в том числе:
    - ГТС и МТС</v>
      </c>
      <c r="B268" s="52" t="str">
        <f t="shared" si="27"/>
        <v>244</v>
      </c>
      <c r="C268" s="52" t="str">
        <f t="shared" si="27"/>
        <v>221</v>
      </c>
      <c r="D268" s="53"/>
      <c r="E268" s="54"/>
      <c r="F268" s="54"/>
      <c r="G268" s="54"/>
      <c r="H268" s="56"/>
      <c r="I268" s="56"/>
      <c r="R268" s="54"/>
      <c r="S268" s="54"/>
      <c r="T268" s="54"/>
      <c r="U268" s="54">
        <f t="shared" si="21"/>
        <v>0</v>
      </c>
      <c r="V268" s="54">
        <f t="shared" si="22"/>
        <v>0</v>
      </c>
      <c r="W268" s="54">
        <f t="shared" si="23"/>
        <v>0</v>
      </c>
    </row>
    <row r="269" spans="1:23" s="58" customFormat="1" hidden="1" x14ac:dyDescent="0.25">
      <c r="A269" s="52" t="str">
        <f t="shared" si="27"/>
        <v xml:space="preserve">    - интернет </v>
      </c>
      <c r="B269" s="52" t="str">
        <f t="shared" si="27"/>
        <v>244</v>
      </c>
      <c r="C269" s="52" t="str">
        <f t="shared" si="27"/>
        <v>221</v>
      </c>
      <c r="D269" s="53"/>
      <c r="E269" s="54"/>
      <c r="F269" s="54"/>
      <c r="G269" s="54"/>
      <c r="H269" s="57"/>
      <c r="I269" s="57"/>
      <c r="R269" s="54"/>
      <c r="S269" s="54"/>
      <c r="T269" s="54"/>
      <c r="U269" s="54">
        <f t="shared" ref="U269:U322" si="28">E269-R269</f>
        <v>0</v>
      </c>
      <c r="V269" s="54">
        <f t="shared" ref="V269:V322" si="29">F269-S269</f>
        <v>0</v>
      </c>
      <c r="W269" s="54">
        <f t="shared" ref="W269:W322" si="30">G269-T269</f>
        <v>0</v>
      </c>
    </row>
    <row r="270" spans="1:23" s="58" customFormat="1" hidden="1" x14ac:dyDescent="0.25">
      <c r="A270" s="52" t="str">
        <f t="shared" si="27"/>
        <v xml:space="preserve"> - транспортные расходы</v>
      </c>
      <c r="B270" s="52" t="str">
        <f t="shared" si="27"/>
        <v>244</v>
      </c>
      <c r="C270" s="52" t="str">
        <f t="shared" si="27"/>
        <v>222</v>
      </c>
      <c r="D270" s="53"/>
      <c r="E270" s="54"/>
      <c r="F270" s="54"/>
      <c r="G270" s="54"/>
      <c r="I270" s="57"/>
      <c r="R270" s="54"/>
      <c r="S270" s="54"/>
      <c r="T270" s="54"/>
      <c r="U270" s="54">
        <f t="shared" si="28"/>
        <v>0</v>
      </c>
      <c r="V270" s="54">
        <f t="shared" si="29"/>
        <v>0</v>
      </c>
      <c r="W270" s="54">
        <f t="shared" si="30"/>
        <v>0</v>
      </c>
    </row>
    <row r="271" spans="1:23" hidden="1" x14ac:dyDescent="0.25">
      <c r="A271" s="52" t="str">
        <f t="shared" si="27"/>
        <v xml:space="preserve"> - коммунальные расходы (без ЖБО)</v>
      </c>
      <c r="B271" s="52" t="str">
        <f t="shared" si="27"/>
        <v>244</v>
      </c>
      <c r="C271" s="52" t="str">
        <f t="shared" si="27"/>
        <v>223</v>
      </c>
      <c r="D271" s="53"/>
      <c r="E271" s="54"/>
      <c r="F271" s="54"/>
      <c r="G271" s="54"/>
      <c r="H271" s="56"/>
      <c r="I271" s="56"/>
      <c r="R271" s="54"/>
      <c r="S271" s="54"/>
      <c r="T271" s="54"/>
      <c r="U271" s="54">
        <f t="shared" si="28"/>
        <v>0</v>
      </c>
      <c r="V271" s="54">
        <f t="shared" si="29"/>
        <v>0</v>
      </c>
      <c r="W271" s="54">
        <f t="shared" si="30"/>
        <v>0</v>
      </c>
    </row>
    <row r="272" spans="1:23" hidden="1" x14ac:dyDescent="0.25">
      <c r="A272" s="52" t="str">
        <f t="shared" si="27"/>
        <v xml:space="preserve"> - коммунальные расходы (без ЖБО)</v>
      </c>
      <c r="B272" s="52" t="str">
        <f t="shared" si="27"/>
        <v>247</v>
      </c>
      <c r="C272" s="52" t="str">
        <f t="shared" si="27"/>
        <v>223</v>
      </c>
      <c r="D272" s="53"/>
      <c r="E272" s="54"/>
      <c r="F272" s="54"/>
      <c r="G272" s="54"/>
      <c r="H272" s="56"/>
      <c r="I272" s="56"/>
      <c r="R272" s="54"/>
      <c r="S272" s="54"/>
      <c r="T272" s="54"/>
      <c r="U272" s="54">
        <f t="shared" si="28"/>
        <v>0</v>
      </c>
      <c r="V272" s="54">
        <f t="shared" si="29"/>
        <v>0</v>
      </c>
      <c r="W272" s="54">
        <f t="shared" si="30"/>
        <v>0</v>
      </c>
    </row>
    <row r="273" spans="1:23" hidden="1" x14ac:dyDescent="0.25">
      <c r="A273" s="52" t="str">
        <f t="shared" si="27"/>
        <v xml:space="preserve">    - ЖБО </v>
      </c>
      <c r="B273" s="52" t="str">
        <f t="shared" si="27"/>
        <v>244</v>
      </c>
      <c r="C273" s="52" t="str">
        <f t="shared" si="27"/>
        <v>223</v>
      </c>
      <c r="D273" s="53"/>
      <c r="E273" s="54"/>
      <c r="F273" s="54"/>
      <c r="G273" s="54"/>
      <c r="H273" s="58"/>
      <c r="I273" s="57"/>
      <c r="R273" s="54"/>
      <c r="S273" s="54"/>
      <c r="T273" s="54"/>
      <c r="U273" s="54">
        <f t="shared" si="28"/>
        <v>0</v>
      </c>
      <c r="V273" s="54">
        <f t="shared" si="29"/>
        <v>0</v>
      </c>
      <c r="W273" s="54">
        <f t="shared" si="30"/>
        <v>0</v>
      </c>
    </row>
    <row r="274" spans="1:23" s="58" customFormat="1" hidden="1" x14ac:dyDescent="0.25">
      <c r="A274" s="52" t="str">
        <f t="shared" si="27"/>
        <v xml:space="preserve"> - арендная плата </v>
      </c>
      <c r="B274" s="52" t="str">
        <f t="shared" si="27"/>
        <v>244</v>
      </c>
      <c r="C274" s="52" t="str">
        <f t="shared" si="27"/>
        <v>224</v>
      </c>
      <c r="D274" s="53"/>
      <c r="E274" s="54"/>
      <c r="F274" s="54"/>
      <c r="G274" s="54"/>
      <c r="H274" s="57"/>
      <c r="I274" s="57"/>
      <c r="R274" s="54"/>
      <c r="S274" s="54"/>
      <c r="T274" s="54"/>
      <c r="U274" s="54">
        <f t="shared" si="28"/>
        <v>0</v>
      </c>
      <c r="V274" s="54">
        <f t="shared" si="29"/>
        <v>0</v>
      </c>
      <c r="W274" s="54">
        <f t="shared" si="30"/>
        <v>0</v>
      </c>
    </row>
    <row r="275" spans="1:23" s="45" customFormat="1" hidden="1" x14ac:dyDescent="0.25">
      <c r="A275" s="52" t="str">
        <f t="shared" si="27"/>
        <v xml:space="preserve"> - услуги по содержанию имущества, всего:</v>
      </c>
      <c r="B275" s="52" t="str">
        <f t="shared" si="27"/>
        <v>244</v>
      </c>
      <c r="C275" s="52" t="str">
        <f t="shared" si="27"/>
        <v>225</v>
      </c>
      <c r="D275" s="104"/>
      <c r="E275" s="62">
        <f>SUM(E276:E298)</f>
        <v>0</v>
      </c>
      <c r="F275" s="62">
        <f>SUM(F276:F298)</f>
        <v>0</v>
      </c>
      <c r="G275" s="62">
        <f>SUM(G276:G298)</f>
        <v>0</v>
      </c>
      <c r="H275" s="63"/>
      <c r="I275" s="63"/>
      <c r="R275" s="62"/>
      <c r="S275" s="62"/>
      <c r="T275" s="62"/>
      <c r="U275" s="62">
        <f t="shared" si="28"/>
        <v>0</v>
      </c>
      <c r="V275" s="62">
        <f t="shared" si="29"/>
        <v>0</v>
      </c>
      <c r="W275" s="62">
        <f t="shared" si="30"/>
        <v>0</v>
      </c>
    </row>
    <row r="276" spans="1:23" ht="41.4" hidden="1" x14ac:dyDescent="0.25">
      <c r="A276" s="52" t="str">
        <f t="shared" si="27"/>
        <v xml:space="preserve">   в том числе:
    - тек.ремонт (отопление, водопровод, электросетей)</v>
      </c>
      <c r="B276" s="52" t="str">
        <f t="shared" si="27"/>
        <v>244</v>
      </c>
      <c r="C276" s="52" t="str">
        <f t="shared" si="27"/>
        <v>225</v>
      </c>
      <c r="D276" s="53"/>
      <c r="E276" s="54"/>
      <c r="F276" s="54"/>
      <c r="G276" s="54"/>
      <c r="H276" s="56"/>
      <c r="I276" s="56"/>
      <c r="R276" s="54"/>
      <c r="S276" s="54"/>
      <c r="T276" s="54"/>
      <c r="U276" s="54">
        <f t="shared" si="28"/>
        <v>0</v>
      </c>
      <c r="V276" s="54">
        <f t="shared" si="29"/>
        <v>0</v>
      </c>
      <c r="W276" s="54">
        <f t="shared" si="30"/>
        <v>0</v>
      </c>
    </row>
    <row r="277" spans="1:23" s="66" customFormat="1" hidden="1" x14ac:dyDescent="0.25">
      <c r="A277" s="52" t="str">
        <f t="shared" si="27"/>
        <v xml:space="preserve">    - очистка кровли от снега</v>
      </c>
      <c r="B277" s="52" t="str">
        <f t="shared" si="27"/>
        <v>244</v>
      </c>
      <c r="C277" s="52" t="str">
        <f t="shared" si="27"/>
        <v>225</v>
      </c>
      <c r="D277" s="53"/>
      <c r="E277" s="54"/>
      <c r="F277" s="54"/>
      <c r="G277" s="54"/>
      <c r="I277" s="67"/>
      <c r="R277" s="54"/>
      <c r="S277" s="54"/>
      <c r="T277" s="54"/>
      <c r="U277" s="54">
        <f t="shared" si="28"/>
        <v>0</v>
      </c>
      <c r="V277" s="54">
        <f t="shared" si="29"/>
        <v>0</v>
      </c>
      <c r="W277" s="54">
        <f t="shared" si="30"/>
        <v>0</v>
      </c>
    </row>
    <row r="278" spans="1:23" ht="15" hidden="1" customHeight="1" x14ac:dyDescent="0.25">
      <c r="A278" s="52" t="str">
        <f t="shared" si="27"/>
        <v xml:space="preserve">    - текущий ремонт кровли, крыльца, заделка швов, асфальтирование территории</v>
      </c>
      <c r="B278" s="52" t="str">
        <f t="shared" si="27"/>
        <v>244</v>
      </c>
      <c r="C278" s="52" t="str">
        <f t="shared" si="27"/>
        <v>225</v>
      </c>
      <c r="D278" s="53"/>
      <c r="E278" s="54"/>
      <c r="F278" s="54"/>
      <c r="G278" s="54"/>
      <c r="H278" s="56"/>
      <c r="I278" s="56"/>
      <c r="R278" s="54"/>
      <c r="S278" s="54"/>
      <c r="T278" s="54"/>
      <c r="U278" s="54">
        <f t="shared" si="28"/>
        <v>0</v>
      </c>
      <c r="V278" s="54">
        <f t="shared" si="29"/>
        <v>0</v>
      </c>
      <c r="W278" s="54">
        <f t="shared" si="30"/>
        <v>0</v>
      </c>
    </row>
    <row r="279" spans="1:23" hidden="1" x14ac:dyDescent="0.25">
      <c r="A279" s="52" t="str">
        <f t="shared" si="27"/>
        <v xml:space="preserve">    - аварийно-техническое обслуживание зданий</v>
      </c>
      <c r="B279" s="52" t="str">
        <f t="shared" si="27"/>
        <v>244</v>
      </c>
      <c r="C279" s="52" t="str">
        <f t="shared" si="27"/>
        <v>225</v>
      </c>
      <c r="D279" s="53"/>
      <c r="E279" s="54"/>
      <c r="F279" s="54"/>
      <c r="G279" s="54"/>
      <c r="H279" s="56"/>
      <c r="I279" s="56"/>
      <c r="R279" s="54"/>
      <c r="S279" s="54"/>
      <c r="T279" s="54"/>
      <c r="U279" s="54">
        <f t="shared" si="28"/>
        <v>0</v>
      </c>
      <c r="V279" s="54">
        <f t="shared" si="29"/>
        <v>0</v>
      </c>
      <c r="W279" s="54">
        <f t="shared" si="30"/>
        <v>0</v>
      </c>
    </row>
    <row r="280" spans="1:23" ht="27.6" hidden="1" x14ac:dyDescent="0.25">
      <c r="A280" s="52" t="str">
        <f t="shared" si="27"/>
        <v xml:space="preserve">    - содержание мест общего пользования (ПЖРЭТ), взносы на кап.ремонт</v>
      </c>
      <c r="B280" s="52" t="str">
        <f t="shared" si="27"/>
        <v>244</v>
      </c>
      <c r="C280" s="52" t="str">
        <f t="shared" si="27"/>
        <v>225</v>
      </c>
      <c r="D280" s="53"/>
      <c r="E280" s="54"/>
      <c r="F280" s="54"/>
      <c r="G280" s="54"/>
      <c r="I280" s="56"/>
      <c r="R280" s="54"/>
      <c r="S280" s="54"/>
      <c r="T280" s="54"/>
      <c r="U280" s="54">
        <f t="shared" si="28"/>
        <v>0</v>
      </c>
      <c r="V280" s="54">
        <f t="shared" si="29"/>
        <v>0</v>
      </c>
      <c r="W280" s="54">
        <f t="shared" si="30"/>
        <v>0</v>
      </c>
    </row>
    <row r="281" spans="1:23" hidden="1" x14ac:dyDescent="0.25">
      <c r="A281" s="52" t="str">
        <f t="shared" ref="A281:C300" si="31">A101</f>
        <v xml:space="preserve">    - наружное освещение</v>
      </c>
      <c r="B281" s="52" t="str">
        <f t="shared" si="31"/>
        <v>244</v>
      </c>
      <c r="C281" s="52" t="str">
        <f t="shared" si="31"/>
        <v>225</v>
      </c>
      <c r="D281" s="53"/>
      <c r="E281" s="54"/>
      <c r="F281" s="54"/>
      <c r="G281" s="54"/>
      <c r="I281" s="56"/>
      <c r="R281" s="54"/>
      <c r="S281" s="54"/>
      <c r="T281" s="54"/>
      <c r="U281" s="54">
        <f t="shared" si="28"/>
        <v>0</v>
      </c>
      <c r="V281" s="54">
        <f t="shared" si="29"/>
        <v>0</v>
      </c>
      <c r="W281" s="54">
        <f t="shared" si="30"/>
        <v>0</v>
      </c>
    </row>
    <row r="282" spans="1:23" hidden="1" x14ac:dyDescent="0.25">
      <c r="A282" s="52" t="str">
        <f t="shared" si="31"/>
        <v xml:space="preserve">    - то приборов коммерческого учета</v>
      </c>
      <c r="B282" s="52" t="str">
        <f t="shared" si="31"/>
        <v>244</v>
      </c>
      <c r="C282" s="52" t="str">
        <f t="shared" si="31"/>
        <v>225</v>
      </c>
      <c r="D282" s="53"/>
      <c r="E282" s="54"/>
      <c r="F282" s="54"/>
      <c r="G282" s="54"/>
      <c r="I282" s="56"/>
      <c r="R282" s="54"/>
      <c r="S282" s="54"/>
      <c r="T282" s="54"/>
      <c r="U282" s="54">
        <f t="shared" si="28"/>
        <v>0</v>
      </c>
      <c r="V282" s="54">
        <f t="shared" si="29"/>
        <v>0</v>
      </c>
      <c r="W282" s="54">
        <f t="shared" si="30"/>
        <v>0</v>
      </c>
    </row>
    <row r="283" spans="1:23" hidden="1" x14ac:dyDescent="0.25">
      <c r="A283" s="52" t="str">
        <f t="shared" si="31"/>
        <v xml:space="preserve">    - дезинфекция</v>
      </c>
      <c r="B283" s="52" t="str">
        <f t="shared" si="31"/>
        <v>244</v>
      </c>
      <c r="C283" s="52" t="str">
        <f t="shared" si="31"/>
        <v>225</v>
      </c>
      <c r="D283" s="53"/>
      <c r="E283" s="54"/>
      <c r="F283" s="54"/>
      <c r="G283" s="54"/>
      <c r="I283" s="56"/>
      <c r="R283" s="54"/>
      <c r="S283" s="54"/>
      <c r="T283" s="54"/>
      <c r="U283" s="54">
        <f t="shared" si="28"/>
        <v>0</v>
      </c>
      <c r="V283" s="54">
        <f t="shared" si="29"/>
        <v>0</v>
      </c>
      <c r="W283" s="54">
        <f t="shared" si="30"/>
        <v>0</v>
      </c>
    </row>
    <row r="284" spans="1:23" hidden="1" x14ac:dyDescent="0.25">
      <c r="A284" s="52" t="str">
        <f t="shared" si="31"/>
        <v xml:space="preserve">    - то видеонаблюдения</v>
      </c>
      <c r="B284" s="52" t="str">
        <f t="shared" si="31"/>
        <v>244</v>
      </c>
      <c r="C284" s="52" t="str">
        <f t="shared" si="31"/>
        <v>225</v>
      </c>
      <c r="D284" s="53"/>
      <c r="E284" s="54"/>
      <c r="F284" s="54"/>
      <c r="G284" s="54"/>
      <c r="I284" s="56"/>
      <c r="R284" s="54"/>
      <c r="S284" s="54"/>
      <c r="T284" s="54"/>
      <c r="U284" s="54">
        <f t="shared" si="28"/>
        <v>0</v>
      </c>
      <c r="V284" s="54">
        <f t="shared" si="29"/>
        <v>0</v>
      </c>
      <c r="W284" s="54">
        <f t="shared" si="30"/>
        <v>0</v>
      </c>
    </row>
    <row r="285" spans="1:23" hidden="1" x14ac:dyDescent="0.25">
      <c r="A285" s="52" t="str">
        <f t="shared" si="31"/>
        <v xml:space="preserve">    - то пожарно-охранной сигнализации</v>
      </c>
      <c r="B285" s="52" t="str">
        <f t="shared" si="31"/>
        <v>244</v>
      </c>
      <c r="C285" s="52" t="str">
        <f t="shared" si="31"/>
        <v>225</v>
      </c>
      <c r="D285" s="53"/>
      <c r="E285" s="54"/>
      <c r="F285" s="54"/>
      <c r="G285" s="54"/>
      <c r="I285" s="56"/>
      <c r="R285" s="54"/>
      <c r="S285" s="54"/>
      <c r="T285" s="54"/>
      <c r="U285" s="54">
        <f t="shared" si="28"/>
        <v>0</v>
      </c>
      <c r="V285" s="54">
        <f t="shared" si="29"/>
        <v>0</v>
      </c>
      <c r="W285" s="54">
        <f t="shared" si="30"/>
        <v>0</v>
      </c>
    </row>
    <row r="286" spans="1:23" hidden="1" x14ac:dyDescent="0.25">
      <c r="A286" s="52" t="str">
        <f t="shared" si="31"/>
        <v xml:space="preserve">    - монтаж (регулировка) дверей/окон</v>
      </c>
      <c r="B286" s="52" t="str">
        <f t="shared" si="31"/>
        <v>244</v>
      </c>
      <c r="C286" s="52" t="str">
        <f t="shared" si="31"/>
        <v>225</v>
      </c>
      <c r="D286" s="53"/>
      <c r="E286" s="54"/>
      <c r="F286" s="54"/>
      <c r="G286" s="54"/>
      <c r="I286" s="56"/>
      <c r="R286" s="54"/>
      <c r="S286" s="54"/>
      <c r="T286" s="54"/>
      <c r="U286" s="54">
        <f t="shared" si="28"/>
        <v>0</v>
      </c>
      <c r="V286" s="54">
        <f t="shared" si="29"/>
        <v>0</v>
      </c>
      <c r="W286" s="54">
        <f t="shared" si="30"/>
        <v>0</v>
      </c>
    </row>
    <row r="287" spans="1:23" hidden="1" x14ac:dyDescent="0.25">
      <c r="A287" s="52" t="str">
        <f t="shared" si="31"/>
        <v xml:space="preserve">    - заправка картриджей</v>
      </c>
      <c r="B287" s="52" t="str">
        <f t="shared" si="31"/>
        <v>244</v>
      </c>
      <c r="C287" s="52" t="str">
        <f t="shared" si="31"/>
        <v>225</v>
      </c>
      <c r="D287" s="53"/>
      <c r="E287" s="54"/>
      <c r="F287" s="54"/>
      <c r="G287" s="54"/>
      <c r="I287" s="56"/>
      <c r="R287" s="54"/>
      <c r="S287" s="54"/>
      <c r="T287" s="54"/>
      <c r="U287" s="54">
        <f t="shared" si="28"/>
        <v>0</v>
      </c>
      <c r="V287" s="54">
        <f t="shared" si="29"/>
        <v>0</v>
      </c>
      <c r="W287" s="54">
        <f t="shared" si="30"/>
        <v>0</v>
      </c>
    </row>
    <row r="288" spans="1:23" ht="15" hidden="1" customHeight="1" x14ac:dyDescent="0.25">
      <c r="A288" s="52" t="str">
        <f t="shared" si="31"/>
        <v xml:space="preserve">    - обслуживание кнопки тревожной сигнализации</v>
      </c>
      <c r="B288" s="52" t="str">
        <f t="shared" si="31"/>
        <v>244</v>
      </c>
      <c r="C288" s="52" t="str">
        <f t="shared" si="31"/>
        <v>225</v>
      </c>
      <c r="D288" s="53"/>
      <c r="E288" s="54"/>
      <c r="F288" s="54"/>
      <c r="G288" s="54"/>
      <c r="I288" s="56"/>
      <c r="R288" s="54"/>
      <c r="S288" s="54"/>
      <c r="T288" s="54"/>
      <c r="U288" s="54">
        <f t="shared" si="28"/>
        <v>0</v>
      </c>
      <c r="V288" s="54">
        <f t="shared" si="29"/>
        <v>0</v>
      </c>
      <c r="W288" s="54">
        <f t="shared" si="30"/>
        <v>0</v>
      </c>
    </row>
    <row r="289" spans="1:23" hidden="1" x14ac:dyDescent="0.25">
      <c r="A289" s="52" t="str">
        <f t="shared" si="31"/>
        <v xml:space="preserve">    - то компьютерного оборудования</v>
      </c>
      <c r="B289" s="52" t="str">
        <f t="shared" si="31"/>
        <v>244</v>
      </c>
      <c r="C289" s="52" t="str">
        <f t="shared" si="31"/>
        <v>225</v>
      </c>
      <c r="D289" s="53"/>
      <c r="E289" s="54"/>
      <c r="F289" s="54"/>
      <c r="G289" s="54"/>
      <c r="I289" s="56"/>
      <c r="R289" s="54"/>
      <c r="S289" s="54"/>
      <c r="T289" s="54"/>
      <c r="U289" s="54">
        <f t="shared" si="28"/>
        <v>0</v>
      </c>
      <c r="V289" s="54">
        <f t="shared" si="29"/>
        <v>0</v>
      </c>
      <c r="W289" s="54">
        <f t="shared" si="30"/>
        <v>0</v>
      </c>
    </row>
    <row r="290" spans="1:23" hidden="1" x14ac:dyDescent="0.25">
      <c r="A290" s="52" t="str">
        <f t="shared" si="31"/>
        <v xml:space="preserve">    - Химчистка</v>
      </c>
      <c r="B290" s="52" t="str">
        <f t="shared" si="31"/>
        <v>244</v>
      </c>
      <c r="C290" s="52" t="str">
        <f t="shared" si="31"/>
        <v>225</v>
      </c>
      <c r="D290" s="53"/>
      <c r="E290" s="54"/>
      <c r="F290" s="54"/>
      <c r="G290" s="54"/>
      <c r="I290" s="56"/>
      <c r="R290" s="54"/>
      <c r="S290" s="54"/>
      <c r="T290" s="54"/>
      <c r="U290" s="54">
        <f t="shared" si="28"/>
        <v>0</v>
      </c>
      <c r="V290" s="54">
        <f t="shared" si="29"/>
        <v>0</v>
      </c>
      <c r="W290" s="54">
        <f t="shared" si="30"/>
        <v>0</v>
      </c>
    </row>
    <row r="291" spans="1:23" hidden="1" x14ac:dyDescent="0.25">
      <c r="A291" s="52" t="str">
        <f t="shared" si="31"/>
        <v xml:space="preserve">    - поверка средств имерения</v>
      </c>
      <c r="B291" s="52" t="str">
        <f t="shared" si="31"/>
        <v>244</v>
      </c>
      <c r="C291" s="52" t="str">
        <f t="shared" si="31"/>
        <v>225</v>
      </c>
      <c r="D291" s="53"/>
      <c r="E291" s="54"/>
      <c r="F291" s="54"/>
      <c r="G291" s="54"/>
      <c r="I291" s="56"/>
      <c r="R291" s="54"/>
      <c r="S291" s="54"/>
      <c r="T291" s="54"/>
      <c r="U291" s="54">
        <f t="shared" si="28"/>
        <v>0</v>
      </c>
      <c r="V291" s="54">
        <f t="shared" si="29"/>
        <v>0</v>
      </c>
      <c r="W291" s="54">
        <f t="shared" si="30"/>
        <v>0</v>
      </c>
    </row>
    <row r="292" spans="1:23" hidden="1" x14ac:dyDescent="0.25">
      <c r="A292" s="52" t="str">
        <f t="shared" si="31"/>
        <v xml:space="preserve">    - вывоз ТКО</v>
      </c>
      <c r="B292" s="52" t="str">
        <f t="shared" si="31"/>
        <v>244</v>
      </c>
      <c r="C292" s="52" t="str">
        <f t="shared" si="31"/>
        <v>225</v>
      </c>
      <c r="D292" s="53"/>
      <c r="E292" s="54"/>
      <c r="F292" s="54"/>
      <c r="G292" s="54"/>
      <c r="I292" s="56"/>
      <c r="R292" s="54"/>
      <c r="S292" s="54"/>
      <c r="T292" s="54"/>
      <c r="U292" s="54">
        <f t="shared" si="28"/>
        <v>0</v>
      </c>
      <c r="V292" s="54">
        <f t="shared" si="29"/>
        <v>0</v>
      </c>
      <c r="W292" s="54">
        <f t="shared" si="30"/>
        <v>0</v>
      </c>
    </row>
    <row r="293" spans="1:23" hidden="1" x14ac:dyDescent="0.25">
      <c r="A293" s="52" t="str">
        <f t="shared" si="31"/>
        <v xml:space="preserve">    - текущий ремонт оборудования</v>
      </c>
      <c r="B293" s="52" t="str">
        <f t="shared" si="31"/>
        <v>244</v>
      </c>
      <c r="C293" s="52" t="str">
        <f t="shared" si="31"/>
        <v>225</v>
      </c>
      <c r="D293" s="53"/>
      <c r="E293" s="54"/>
      <c r="F293" s="54"/>
      <c r="G293" s="54"/>
      <c r="I293" s="56"/>
      <c r="R293" s="54"/>
      <c r="S293" s="54"/>
      <c r="T293" s="54"/>
      <c r="U293" s="54">
        <f t="shared" si="28"/>
        <v>0</v>
      </c>
      <c r="V293" s="54">
        <f t="shared" si="29"/>
        <v>0</v>
      </c>
      <c r="W293" s="54">
        <f t="shared" si="30"/>
        <v>0</v>
      </c>
    </row>
    <row r="294" spans="1:23" hidden="1" x14ac:dyDescent="0.25">
      <c r="A294" s="52" t="str">
        <f t="shared" si="31"/>
        <v xml:space="preserve">    - испытание диэлектрических средств защиты</v>
      </c>
      <c r="B294" s="52" t="str">
        <f t="shared" si="31"/>
        <v>244</v>
      </c>
      <c r="C294" s="52" t="str">
        <f t="shared" si="31"/>
        <v>225</v>
      </c>
      <c r="D294" s="53"/>
      <c r="E294" s="54"/>
      <c r="F294" s="54"/>
      <c r="G294" s="54"/>
      <c r="I294" s="56"/>
      <c r="R294" s="54"/>
      <c r="S294" s="54"/>
      <c r="T294" s="54"/>
      <c r="U294" s="54">
        <f t="shared" si="28"/>
        <v>0</v>
      </c>
      <c r="V294" s="54">
        <f t="shared" si="29"/>
        <v>0</v>
      </c>
      <c r="W294" s="54">
        <f t="shared" si="30"/>
        <v>0</v>
      </c>
    </row>
    <row r="295" spans="1:23" hidden="1" x14ac:dyDescent="0.25">
      <c r="A295" s="52" t="str">
        <f t="shared" si="31"/>
        <v xml:space="preserve">    - гидравлические испытания пожарных рукавов</v>
      </c>
      <c r="B295" s="52" t="str">
        <f t="shared" si="31"/>
        <v>244</v>
      </c>
      <c r="C295" s="52" t="str">
        <f t="shared" si="31"/>
        <v>225</v>
      </c>
      <c r="D295" s="53"/>
      <c r="E295" s="54"/>
      <c r="F295" s="54"/>
      <c r="G295" s="54"/>
      <c r="I295" s="56"/>
      <c r="R295" s="54"/>
      <c r="S295" s="54"/>
      <c r="T295" s="54"/>
      <c r="U295" s="54">
        <f t="shared" si="28"/>
        <v>0</v>
      </c>
      <c r="V295" s="54">
        <f t="shared" si="29"/>
        <v>0</v>
      </c>
      <c r="W295" s="54">
        <f t="shared" si="30"/>
        <v>0</v>
      </c>
    </row>
    <row r="296" spans="1:23" hidden="1" x14ac:dyDescent="0.25">
      <c r="A296" s="52" t="str">
        <f t="shared" si="31"/>
        <v xml:space="preserve">    - монтаж уличного освещения</v>
      </c>
      <c r="B296" s="52" t="str">
        <f t="shared" si="31"/>
        <v>244</v>
      </c>
      <c r="C296" s="52" t="str">
        <f t="shared" si="31"/>
        <v>225</v>
      </c>
      <c r="D296" s="53"/>
      <c r="E296" s="54"/>
      <c r="F296" s="54"/>
      <c r="G296" s="54"/>
      <c r="I296" s="56"/>
      <c r="R296" s="54"/>
      <c r="S296" s="54"/>
      <c r="T296" s="54"/>
      <c r="U296" s="54">
        <f t="shared" si="28"/>
        <v>0</v>
      </c>
      <c r="V296" s="54">
        <f t="shared" si="29"/>
        <v>0</v>
      </c>
      <c r="W296" s="54">
        <f t="shared" si="30"/>
        <v>0</v>
      </c>
    </row>
    <row r="297" spans="1:23" hidden="1" x14ac:dyDescent="0.25">
      <c r="A297" s="52" t="str">
        <f t="shared" si="31"/>
        <v xml:space="preserve">    - противоклещевая обработка</v>
      </c>
      <c r="B297" s="52" t="str">
        <f t="shared" si="31"/>
        <v>244</v>
      </c>
      <c r="C297" s="52" t="str">
        <f t="shared" si="31"/>
        <v>225</v>
      </c>
      <c r="D297" s="53"/>
      <c r="E297" s="54"/>
      <c r="F297" s="54"/>
      <c r="G297" s="54"/>
      <c r="I297" s="56"/>
      <c r="R297" s="54"/>
      <c r="S297" s="54"/>
      <c r="T297" s="54"/>
      <c r="U297" s="54">
        <f t="shared" si="28"/>
        <v>0</v>
      </c>
      <c r="V297" s="54">
        <f t="shared" si="29"/>
        <v>0</v>
      </c>
      <c r="W297" s="54">
        <f t="shared" si="30"/>
        <v>0</v>
      </c>
    </row>
    <row r="298" spans="1:23" hidden="1" x14ac:dyDescent="0.25">
      <c r="A298" s="52" t="str">
        <f t="shared" si="31"/>
        <v xml:space="preserve">    - сервисное обслуживание приборов тепла</v>
      </c>
      <c r="B298" s="52" t="str">
        <f t="shared" si="31"/>
        <v>244</v>
      </c>
      <c r="C298" s="52" t="str">
        <f t="shared" si="31"/>
        <v>225</v>
      </c>
      <c r="D298" s="53"/>
      <c r="E298" s="54"/>
      <c r="F298" s="54"/>
      <c r="G298" s="54"/>
      <c r="I298" s="56"/>
      <c r="R298" s="54"/>
      <c r="S298" s="54"/>
      <c r="T298" s="54"/>
      <c r="U298" s="54">
        <f t="shared" si="28"/>
        <v>0</v>
      </c>
      <c r="V298" s="54">
        <f t="shared" si="29"/>
        <v>0</v>
      </c>
      <c r="W298" s="54">
        <f t="shared" si="30"/>
        <v>0</v>
      </c>
    </row>
    <row r="299" spans="1:23" s="45" customFormat="1" hidden="1" x14ac:dyDescent="0.25">
      <c r="A299" s="52" t="str">
        <f t="shared" si="31"/>
        <v xml:space="preserve"> - прочие работы, услуги, всего:</v>
      </c>
      <c r="B299" s="52" t="str">
        <f t="shared" si="31"/>
        <v>244</v>
      </c>
      <c r="C299" s="52" t="str">
        <f t="shared" si="31"/>
        <v>226</v>
      </c>
      <c r="D299" s="104"/>
      <c r="E299" s="62">
        <f>SUM(E300:E315)</f>
        <v>0</v>
      </c>
      <c r="F299" s="62">
        <f>SUM(F300:F315)</f>
        <v>0</v>
      </c>
      <c r="G299" s="62">
        <f>SUM(G300:G315)</f>
        <v>0</v>
      </c>
      <c r="H299" s="63"/>
      <c r="I299" s="63"/>
      <c r="R299" s="62"/>
      <c r="S299" s="62"/>
      <c r="T299" s="62"/>
      <c r="U299" s="62">
        <f t="shared" si="28"/>
        <v>0</v>
      </c>
      <c r="V299" s="62">
        <f t="shared" si="29"/>
        <v>0</v>
      </c>
      <c r="W299" s="62">
        <f t="shared" si="30"/>
        <v>0</v>
      </c>
    </row>
    <row r="300" spans="1:23" s="58" customFormat="1" hidden="1" x14ac:dyDescent="0.25">
      <c r="A300" s="52" t="str">
        <f t="shared" si="31"/>
        <v xml:space="preserve">    - специальная оценка условий труда</v>
      </c>
      <c r="B300" s="52" t="str">
        <f t="shared" si="31"/>
        <v>244</v>
      </c>
      <c r="C300" s="52" t="str">
        <f t="shared" si="31"/>
        <v>226</v>
      </c>
      <c r="D300" s="53" t="s">
        <v>268</v>
      </c>
      <c r="E300" s="54"/>
      <c r="F300" s="54"/>
      <c r="G300" s="54"/>
      <c r="H300" s="49"/>
      <c r="I300" s="56"/>
      <c r="R300" s="54"/>
      <c r="S300" s="54"/>
      <c r="T300" s="54"/>
      <c r="U300" s="54">
        <f t="shared" si="28"/>
        <v>0</v>
      </c>
      <c r="V300" s="54">
        <f t="shared" si="29"/>
        <v>0</v>
      </c>
      <c r="W300" s="54">
        <f t="shared" si="30"/>
        <v>0</v>
      </c>
    </row>
    <row r="301" spans="1:23" s="58" customFormat="1" ht="27.6" hidden="1" x14ac:dyDescent="0.25">
      <c r="A301" s="52" t="str">
        <f t="shared" ref="A301:C320" si="32">A121</f>
        <v xml:space="preserve">    - услуги автотранспорта (доставка строительных материалов, вывоз веток и пр.)</v>
      </c>
      <c r="B301" s="52" t="str">
        <f t="shared" si="32"/>
        <v>244</v>
      </c>
      <c r="C301" s="52" t="str">
        <f t="shared" si="32"/>
        <v>226</v>
      </c>
      <c r="D301" s="53" t="s">
        <v>268</v>
      </c>
      <c r="E301" s="54"/>
      <c r="F301" s="54"/>
      <c r="G301" s="54"/>
      <c r="H301" s="49"/>
      <c r="I301" s="56"/>
      <c r="R301" s="54"/>
      <c r="S301" s="54"/>
      <c r="T301" s="54"/>
      <c r="U301" s="54">
        <f t="shared" si="28"/>
        <v>0</v>
      </c>
      <c r="V301" s="54">
        <f t="shared" si="29"/>
        <v>0</v>
      </c>
      <c r="W301" s="54">
        <f t="shared" si="30"/>
        <v>0</v>
      </c>
    </row>
    <row r="302" spans="1:23" s="58" customFormat="1" hidden="1" x14ac:dyDescent="0.25">
      <c r="A302" s="52" t="str">
        <f t="shared" si="32"/>
        <v xml:space="preserve">    - ПО (СБИС)</v>
      </c>
      <c r="B302" s="52" t="str">
        <f t="shared" si="32"/>
        <v>244</v>
      </c>
      <c r="C302" s="52" t="str">
        <f t="shared" si="32"/>
        <v>226</v>
      </c>
      <c r="D302" s="53" t="s">
        <v>268</v>
      </c>
      <c r="E302" s="54"/>
      <c r="F302" s="54"/>
      <c r="G302" s="54"/>
      <c r="H302" s="49"/>
      <c r="I302" s="56"/>
      <c r="R302" s="54"/>
      <c r="S302" s="54"/>
      <c r="T302" s="54"/>
      <c r="U302" s="54">
        <f t="shared" si="28"/>
        <v>0</v>
      </c>
      <c r="V302" s="54">
        <f t="shared" si="29"/>
        <v>0</v>
      </c>
      <c r="W302" s="54">
        <f t="shared" si="30"/>
        <v>0</v>
      </c>
    </row>
    <row r="303" spans="1:23" s="58" customFormat="1" hidden="1" x14ac:dyDescent="0.25">
      <c r="A303" s="52" t="str">
        <f t="shared" si="32"/>
        <v xml:space="preserve">    - организация питания</v>
      </c>
      <c r="B303" s="52" t="str">
        <f t="shared" si="32"/>
        <v>244</v>
      </c>
      <c r="C303" s="52" t="str">
        <f t="shared" si="32"/>
        <v>226</v>
      </c>
      <c r="D303" s="53" t="s">
        <v>268</v>
      </c>
      <c r="E303" s="54"/>
      <c r="F303" s="54"/>
      <c r="G303" s="54"/>
      <c r="H303" s="49"/>
      <c r="I303" s="56"/>
      <c r="R303" s="54"/>
      <c r="S303" s="54"/>
      <c r="T303" s="54"/>
      <c r="U303" s="54">
        <f t="shared" si="28"/>
        <v>0</v>
      </c>
      <c r="V303" s="54">
        <f t="shared" si="29"/>
        <v>0</v>
      </c>
      <c r="W303" s="54">
        <f t="shared" si="30"/>
        <v>0</v>
      </c>
    </row>
    <row r="304" spans="1:23" s="58" customFormat="1" ht="27.6" hidden="1" x14ac:dyDescent="0.25">
      <c r="A304" s="52" t="str">
        <f t="shared" si="32"/>
        <v xml:space="preserve">    - расчет проектно-сметной документации (ремонт крыльца, речевое оповещение)</v>
      </c>
      <c r="B304" s="52" t="str">
        <f t="shared" si="32"/>
        <v>244</v>
      </c>
      <c r="C304" s="52" t="str">
        <f t="shared" si="32"/>
        <v>226</v>
      </c>
      <c r="D304" s="53" t="s">
        <v>268</v>
      </c>
      <c r="E304" s="54"/>
      <c r="F304" s="54"/>
      <c r="G304" s="54"/>
      <c r="H304" s="49"/>
      <c r="I304" s="56"/>
      <c r="R304" s="54"/>
      <c r="S304" s="54"/>
      <c r="T304" s="54"/>
      <c r="U304" s="54">
        <f t="shared" si="28"/>
        <v>0</v>
      </c>
      <c r="V304" s="54">
        <f t="shared" si="29"/>
        <v>0</v>
      </c>
      <c r="W304" s="54">
        <f t="shared" si="30"/>
        <v>0</v>
      </c>
    </row>
    <row r="305" spans="1:23" s="58" customFormat="1" hidden="1" x14ac:dyDescent="0.25">
      <c r="A305" s="52" t="str">
        <f t="shared" si="32"/>
        <v xml:space="preserve">    - оплата услуг бухгалтерии</v>
      </c>
      <c r="B305" s="52" t="str">
        <f t="shared" si="32"/>
        <v>244</v>
      </c>
      <c r="C305" s="52" t="str">
        <f t="shared" si="32"/>
        <v>226</v>
      </c>
      <c r="D305" s="53" t="s">
        <v>268</v>
      </c>
      <c r="E305" s="54"/>
      <c r="F305" s="54"/>
      <c r="G305" s="54"/>
      <c r="H305" s="49"/>
      <c r="I305" s="56"/>
      <c r="R305" s="54"/>
      <c r="S305" s="54"/>
      <c r="T305" s="54"/>
      <c r="U305" s="54">
        <f t="shared" si="28"/>
        <v>0</v>
      </c>
      <c r="V305" s="54">
        <f t="shared" si="29"/>
        <v>0</v>
      </c>
      <c r="W305" s="54">
        <f t="shared" si="30"/>
        <v>0</v>
      </c>
    </row>
    <row r="306" spans="1:23" s="58" customFormat="1" hidden="1" x14ac:dyDescent="0.25">
      <c r="A306" s="52" t="str">
        <f t="shared" si="32"/>
        <v xml:space="preserve">    - услуги банка</v>
      </c>
      <c r="B306" s="52" t="str">
        <f t="shared" si="32"/>
        <v>244</v>
      </c>
      <c r="C306" s="52" t="str">
        <f t="shared" si="32"/>
        <v>226</v>
      </c>
      <c r="D306" s="53" t="s">
        <v>268</v>
      </c>
      <c r="E306" s="54"/>
      <c r="F306" s="54"/>
      <c r="G306" s="54"/>
      <c r="H306" s="49"/>
      <c r="I306" s="56"/>
      <c r="R306" s="54"/>
      <c r="S306" s="54"/>
      <c r="T306" s="54"/>
      <c r="U306" s="54">
        <f t="shared" si="28"/>
        <v>0</v>
      </c>
      <c r="V306" s="54">
        <f t="shared" si="29"/>
        <v>0</v>
      </c>
      <c r="W306" s="54">
        <f t="shared" si="30"/>
        <v>0</v>
      </c>
    </row>
    <row r="307" spans="1:23" s="58" customFormat="1" hidden="1" x14ac:dyDescent="0.25">
      <c r="A307" s="52" t="str">
        <f t="shared" si="32"/>
        <v xml:space="preserve">    - обслуживание компьютерных программ</v>
      </c>
      <c r="B307" s="52" t="str">
        <f t="shared" si="32"/>
        <v>244</v>
      </c>
      <c r="C307" s="52" t="str">
        <f t="shared" si="32"/>
        <v>226</v>
      </c>
      <c r="D307" s="53" t="s">
        <v>268</v>
      </c>
      <c r="E307" s="54"/>
      <c r="F307" s="54"/>
      <c r="G307" s="54"/>
      <c r="H307" s="49"/>
      <c r="I307" s="56"/>
      <c r="R307" s="54"/>
      <c r="S307" s="54"/>
      <c r="T307" s="54"/>
      <c r="U307" s="54">
        <f t="shared" si="28"/>
        <v>0</v>
      </c>
      <c r="V307" s="54">
        <f t="shared" si="29"/>
        <v>0</v>
      </c>
      <c r="W307" s="54">
        <f t="shared" si="30"/>
        <v>0</v>
      </c>
    </row>
    <row r="308" spans="1:23" hidden="1" x14ac:dyDescent="0.25">
      <c r="A308" s="52" t="str">
        <f t="shared" si="32"/>
        <v xml:space="preserve">    - установка сигнализации</v>
      </c>
      <c r="B308" s="52" t="str">
        <f t="shared" si="32"/>
        <v>244</v>
      </c>
      <c r="C308" s="52" t="str">
        <f t="shared" si="32"/>
        <v>226</v>
      </c>
      <c r="D308" s="53" t="s">
        <v>268</v>
      </c>
      <c r="E308" s="54"/>
      <c r="F308" s="54"/>
      <c r="G308" s="54"/>
      <c r="I308" s="56"/>
      <c r="R308" s="54"/>
      <c r="S308" s="54"/>
      <c r="T308" s="54"/>
      <c r="U308" s="54">
        <f t="shared" si="28"/>
        <v>0</v>
      </c>
      <c r="V308" s="54">
        <f t="shared" si="29"/>
        <v>0</v>
      </c>
      <c r="W308" s="54">
        <f t="shared" si="30"/>
        <v>0</v>
      </c>
    </row>
    <row r="309" spans="1:23" hidden="1" x14ac:dyDescent="0.25">
      <c r="A309" s="52" t="str">
        <f t="shared" si="32"/>
        <v xml:space="preserve">    - оказание консалтинговых услуг</v>
      </c>
      <c r="B309" s="52" t="str">
        <f t="shared" si="32"/>
        <v>244</v>
      </c>
      <c r="C309" s="52" t="str">
        <f t="shared" si="32"/>
        <v>226</v>
      </c>
      <c r="D309" s="53" t="s">
        <v>268</v>
      </c>
      <c r="E309" s="54"/>
      <c r="F309" s="54"/>
      <c r="G309" s="54"/>
      <c r="I309" s="56"/>
      <c r="R309" s="54"/>
      <c r="S309" s="54"/>
      <c r="T309" s="54"/>
      <c r="U309" s="54">
        <f t="shared" si="28"/>
        <v>0</v>
      </c>
      <c r="V309" s="54">
        <f t="shared" si="29"/>
        <v>0</v>
      </c>
      <c r="W309" s="54">
        <f t="shared" si="30"/>
        <v>0</v>
      </c>
    </row>
    <row r="310" spans="1:23" ht="27.6" hidden="1" x14ac:dyDescent="0.25">
      <c r="A310" s="52" t="str">
        <f t="shared" si="32"/>
        <v xml:space="preserve">    - монтаж решетчатой металлической двери в тепловом узле</v>
      </c>
      <c r="B310" s="52" t="str">
        <f t="shared" si="32"/>
        <v>244</v>
      </c>
      <c r="C310" s="52" t="str">
        <f t="shared" si="32"/>
        <v>226</v>
      </c>
      <c r="D310" s="53" t="s">
        <v>268</v>
      </c>
      <c r="E310" s="54"/>
      <c r="F310" s="54"/>
      <c r="G310" s="54"/>
      <c r="I310" s="56"/>
      <c r="R310" s="54"/>
      <c r="S310" s="54"/>
      <c r="T310" s="54"/>
      <c r="U310" s="54">
        <f t="shared" si="28"/>
        <v>0</v>
      </c>
      <c r="V310" s="54">
        <f t="shared" si="29"/>
        <v>0</v>
      </c>
      <c r="W310" s="54">
        <f t="shared" si="30"/>
        <v>0</v>
      </c>
    </row>
    <row r="311" spans="1:23" hidden="1" x14ac:dyDescent="0.25">
      <c r="A311" s="52" t="str">
        <f t="shared" si="32"/>
        <v xml:space="preserve">    - мониторинг охранно-пожарной сигнализации</v>
      </c>
      <c r="B311" s="52" t="str">
        <f t="shared" si="32"/>
        <v>244</v>
      </c>
      <c r="C311" s="52" t="str">
        <f t="shared" si="32"/>
        <v>226</v>
      </c>
      <c r="D311" s="53" t="s">
        <v>268</v>
      </c>
      <c r="E311" s="54"/>
      <c r="F311" s="54"/>
      <c r="G311" s="54"/>
      <c r="I311" s="56"/>
      <c r="R311" s="54"/>
      <c r="S311" s="54"/>
      <c r="T311" s="54"/>
      <c r="U311" s="54">
        <f t="shared" si="28"/>
        <v>0</v>
      </c>
      <c r="V311" s="54">
        <f t="shared" si="29"/>
        <v>0</v>
      </c>
      <c r="W311" s="54">
        <f t="shared" si="30"/>
        <v>0</v>
      </c>
    </row>
    <row r="312" spans="1:23" hidden="1" x14ac:dyDescent="0.25">
      <c r="A312" s="52" t="str">
        <f t="shared" si="32"/>
        <v xml:space="preserve">    - переплет документов</v>
      </c>
      <c r="B312" s="52" t="str">
        <f t="shared" si="32"/>
        <v>244</v>
      </c>
      <c r="C312" s="52" t="str">
        <f t="shared" si="32"/>
        <v>226</v>
      </c>
      <c r="D312" s="53" t="s">
        <v>268</v>
      </c>
      <c r="E312" s="54"/>
      <c r="F312" s="54"/>
      <c r="G312" s="54"/>
      <c r="I312" s="56"/>
      <c r="R312" s="54"/>
      <c r="S312" s="54"/>
      <c r="T312" s="54"/>
      <c r="U312" s="54">
        <f t="shared" si="28"/>
        <v>0</v>
      </c>
      <c r="V312" s="54">
        <f t="shared" si="29"/>
        <v>0</v>
      </c>
      <c r="W312" s="54">
        <f t="shared" si="30"/>
        <v>0</v>
      </c>
    </row>
    <row r="313" spans="1:23" hidden="1" x14ac:dyDescent="0.25">
      <c r="A313" s="52" t="str">
        <f t="shared" si="32"/>
        <v xml:space="preserve">    - вневедомственная охрана</v>
      </c>
      <c r="B313" s="52" t="str">
        <f t="shared" si="32"/>
        <v>244</v>
      </c>
      <c r="C313" s="52" t="str">
        <f t="shared" si="32"/>
        <v>226</v>
      </c>
      <c r="D313" s="53" t="s">
        <v>268</v>
      </c>
      <c r="E313" s="54"/>
      <c r="F313" s="54"/>
      <c r="G313" s="54"/>
      <c r="I313" s="56"/>
      <c r="R313" s="54"/>
      <c r="S313" s="54"/>
      <c r="T313" s="54"/>
      <c r="U313" s="54">
        <f t="shared" si="28"/>
        <v>0</v>
      </c>
      <c r="V313" s="54">
        <f t="shared" si="29"/>
        <v>0</v>
      </c>
      <c r="W313" s="54">
        <f t="shared" si="30"/>
        <v>0</v>
      </c>
    </row>
    <row r="314" spans="1:23" hidden="1" x14ac:dyDescent="0.25">
      <c r="A314" s="52" t="str">
        <f t="shared" si="32"/>
        <v xml:space="preserve">    - лицензированная охрана</v>
      </c>
      <c r="B314" s="52" t="str">
        <f t="shared" si="32"/>
        <v>244</v>
      </c>
      <c r="C314" s="52" t="str">
        <f t="shared" si="32"/>
        <v>226</v>
      </c>
      <c r="D314" s="53" t="s">
        <v>268</v>
      </c>
      <c r="E314" s="54"/>
      <c r="F314" s="54"/>
      <c r="G314" s="54"/>
      <c r="I314" s="56"/>
      <c r="R314" s="54"/>
      <c r="S314" s="54"/>
      <c r="T314" s="54"/>
      <c r="U314" s="54">
        <f t="shared" si="28"/>
        <v>0</v>
      </c>
      <c r="V314" s="54">
        <f t="shared" si="29"/>
        <v>0</v>
      </c>
      <c r="W314" s="54">
        <f t="shared" si="30"/>
        <v>0</v>
      </c>
    </row>
    <row r="315" spans="1:23" hidden="1" x14ac:dyDescent="0.25">
      <c r="A315" s="52" t="str">
        <f t="shared" si="32"/>
        <v xml:space="preserve">    - курсы повышения квалификации</v>
      </c>
      <c r="B315" s="52" t="str">
        <f t="shared" si="32"/>
        <v>244</v>
      </c>
      <c r="C315" s="52" t="str">
        <f t="shared" si="32"/>
        <v>226</v>
      </c>
      <c r="D315" s="53" t="s">
        <v>268</v>
      </c>
      <c r="E315" s="54"/>
      <c r="F315" s="54"/>
      <c r="G315" s="54"/>
      <c r="I315" s="56"/>
      <c r="R315" s="54"/>
      <c r="S315" s="54"/>
      <c r="T315" s="54"/>
      <c r="U315" s="54">
        <f t="shared" si="28"/>
        <v>0</v>
      </c>
      <c r="V315" s="54">
        <f t="shared" si="29"/>
        <v>0</v>
      </c>
      <c r="W315" s="54">
        <f t="shared" si="30"/>
        <v>0</v>
      </c>
    </row>
    <row r="316" spans="1:23" hidden="1" x14ac:dyDescent="0.25">
      <c r="A316" s="52" t="str">
        <f t="shared" si="32"/>
        <v xml:space="preserve">    - монтаж охранно-пожарной сигнализации</v>
      </c>
      <c r="B316" s="52" t="str">
        <f t="shared" si="32"/>
        <v>244</v>
      </c>
      <c r="C316" s="52" t="str">
        <f t="shared" si="32"/>
        <v>228</v>
      </c>
      <c r="D316" s="53" t="s">
        <v>268</v>
      </c>
      <c r="E316" s="54"/>
      <c r="F316" s="54"/>
      <c r="G316" s="54"/>
      <c r="I316" s="56"/>
      <c r="R316" s="54"/>
      <c r="S316" s="54"/>
      <c r="T316" s="54"/>
      <c r="U316" s="54">
        <f t="shared" si="28"/>
        <v>0</v>
      </c>
      <c r="V316" s="54">
        <f t="shared" si="29"/>
        <v>0</v>
      </c>
      <c r="W316" s="54">
        <f t="shared" si="30"/>
        <v>0</v>
      </c>
    </row>
    <row r="317" spans="1:23" ht="27.6" hidden="1" x14ac:dyDescent="0.25">
      <c r="A317" s="52" t="str">
        <f t="shared" si="32"/>
        <v xml:space="preserve"> - выплаты ув.сотрудникам и их родственникам (3 дн.б/л, МП)</v>
      </c>
      <c r="B317" s="52" t="str">
        <f t="shared" si="32"/>
        <v>321</v>
      </c>
      <c r="C317" s="52" t="str">
        <f t="shared" si="32"/>
        <v>264</v>
      </c>
      <c r="D317" s="60" t="s">
        <v>268</v>
      </c>
      <c r="E317" s="54"/>
      <c r="F317" s="54"/>
      <c r="G317" s="54"/>
      <c r="I317" s="56"/>
      <c r="R317" s="54"/>
      <c r="S317" s="54"/>
      <c r="T317" s="54"/>
      <c r="U317" s="54">
        <f t="shared" si="28"/>
        <v>0</v>
      </c>
      <c r="V317" s="54">
        <f t="shared" si="29"/>
        <v>0</v>
      </c>
      <c r="W317" s="54">
        <f t="shared" si="30"/>
        <v>0</v>
      </c>
    </row>
    <row r="318" spans="1:23" hidden="1" x14ac:dyDescent="0.25">
      <c r="A318" s="52" t="str">
        <f t="shared" si="32"/>
        <v xml:space="preserve"> - выплата МП неработающим пенсионерам</v>
      </c>
      <c r="B318" s="52" t="str">
        <f t="shared" si="32"/>
        <v>321</v>
      </c>
      <c r="C318" s="52" t="str">
        <f t="shared" si="32"/>
        <v>296</v>
      </c>
      <c r="D318" s="60" t="s">
        <v>268</v>
      </c>
      <c r="E318" s="54"/>
      <c r="F318" s="54"/>
      <c r="G318" s="54"/>
      <c r="I318" s="56"/>
      <c r="R318" s="54"/>
      <c r="S318" s="54"/>
      <c r="T318" s="54"/>
      <c r="U318" s="54">
        <f t="shared" si="28"/>
        <v>0</v>
      </c>
      <c r="V318" s="54">
        <f t="shared" si="29"/>
        <v>0</v>
      </c>
      <c r="W318" s="54">
        <f t="shared" si="30"/>
        <v>0</v>
      </c>
    </row>
    <row r="319" spans="1:23" s="58" customFormat="1" hidden="1" x14ac:dyDescent="0.25">
      <c r="A319" s="52" t="str">
        <f t="shared" si="32"/>
        <v xml:space="preserve"> - прочие налоги и сборы</v>
      </c>
      <c r="B319" s="52" t="str">
        <f t="shared" si="32"/>
        <v>852</v>
      </c>
      <c r="C319" s="52" t="str">
        <f t="shared" si="32"/>
        <v>291</v>
      </c>
      <c r="D319" s="53" t="s">
        <v>268</v>
      </c>
      <c r="E319" s="54"/>
      <c r="F319" s="54"/>
      <c r="G319" s="54"/>
      <c r="H319" s="57"/>
      <c r="I319" s="57"/>
      <c r="R319" s="54"/>
      <c r="S319" s="54"/>
      <c r="T319" s="54"/>
      <c r="U319" s="54">
        <f t="shared" si="28"/>
        <v>0</v>
      </c>
      <c r="V319" s="54">
        <f t="shared" si="29"/>
        <v>0</v>
      </c>
      <c r="W319" s="54">
        <f t="shared" si="30"/>
        <v>0</v>
      </c>
    </row>
    <row r="320" spans="1:23" s="58" customFormat="1" ht="41.4" hidden="1" x14ac:dyDescent="0.25">
      <c r="A320" s="52" t="str">
        <f t="shared" si="32"/>
        <v xml:space="preserve"> - пеня</v>
      </c>
      <c r="B320" s="52" t="str">
        <f t="shared" si="32"/>
        <v>853</v>
      </c>
      <c r="C320" s="52" t="str">
        <f t="shared" si="32"/>
        <v>292,
295,
293</v>
      </c>
      <c r="D320" s="53" t="s">
        <v>268</v>
      </c>
      <c r="E320" s="54"/>
      <c r="F320" s="54"/>
      <c r="G320" s="54"/>
      <c r="I320" s="57"/>
      <c r="R320" s="54"/>
      <c r="S320" s="54"/>
      <c r="T320" s="54"/>
      <c r="U320" s="54">
        <f t="shared" si="28"/>
        <v>0</v>
      </c>
      <c r="V320" s="54">
        <f t="shared" si="29"/>
        <v>0</v>
      </c>
      <c r="W320" s="54">
        <f t="shared" si="30"/>
        <v>0</v>
      </c>
    </row>
    <row r="321" spans="1:23" hidden="1" x14ac:dyDescent="0.25">
      <c r="A321" s="52" t="str">
        <f t="shared" ref="A321:C340" si="33">A141</f>
        <v xml:space="preserve"> - налог на имущество</v>
      </c>
      <c r="B321" s="52" t="str">
        <f t="shared" si="33"/>
        <v>851</v>
      </c>
      <c r="C321" s="52" t="str">
        <f t="shared" si="33"/>
        <v>291</v>
      </c>
      <c r="D321" s="53" t="s">
        <v>268</v>
      </c>
      <c r="E321" s="54"/>
      <c r="F321" s="54"/>
      <c r="G321" s="54"/>
      <c r="H321" s="56"/>
      <c r="I321" s="56"/>
      <c r="R321" s="54"/>
      <c r="S321" s="54"/>
      <c r="T321" s="54"/>
      <c r="U321" s="54">
        <f t="shared" si="28"/>
        <v>0</v>
      </c>
      <c r="V321" s="54">
        <f t="shared" si="29"/>
        <v>0</v>
      </c>
      <c r="W321" s="54">
        <f t="shared" si="30"/>
        <v>0</v>
      </c>
    </row>
    <row r="322" spans="1:23" ht="27.6" hidden="1" x14ac:dyDescent="0.25">
      <c r="A322" s="52" t="str">
        <f t="shared" si="33"/>
        <v xml:space="preserve"> - компенсация расходов (морального вреда) по решению суда</v>
      </c>
      <c r="B322" s="52" t="str">
        <f t="shared" si="33"/>
        <v>831</v>
      </c>
      <c r="C322" s="52" t="str">
        <f t="shared" si="33"/>
        <v>296</v>
      </c>
      <c r="D322" s="53" t="s">
        <v>268</v>
      </c>
      <c r="E322" s="54"/>
      <c r="F322" s="54"/>
      <c r="G322" s="54"/>
      <c r="H322" s="56"/>
      <c r="I322" s="56"/>
      <c r="R322" s="54"/>
      <c r="S322" s="54"/>
      <c r="T322" s="54"/>
      <c r="U322" s="54">
        <f t="shared" si="28"/>
        <v>0</v>
      </c>
      <c r="V322" s="54">
        <f t="shared" si="29"/>
        <v>0</v>
      </c>
      <c r="W322" s="54">
        <f t="shared" si="30"/>
        <v>0</v>
      </c>
    </row>
    <row r="323" spans="1:23" ht="27.6" hidden="1" x14ac:dyDescent="0.25">
      <c r="A323" s="52" t="str">
        <f t="shared" si="33"/>
        <v xml:space="preserve"> - разработка проектно-сметной документации на капитальный ремонт крыши</v>
      </c>
      <c r="B323" s="52" t="str">
        <f t="shared" si="33"/>
        <v>243</v>
      </c>
      <c r="C323" s="52" t="str">
        <f t="shared" si="33"/>
        <v>226</v>
      </c>
      <c r="D323" s="53" t="s">
        <v>268</v>
      </c>
      <c r="E323" s="54"/>
      <c r="F323" s="54"/>
      <c r="G323" s="54"/>
      <c r="H323" s="56"/>
      <c r="I323" s="56"/>
      <c r="R323" s="54"/>
      <c r="S323" s="54"/>
      <c r="T323" s="54"/>
      <c r="U323" s="54"/>
      <c r="V323" s="54"/>
      <c r="W323" s="54"/>
    </row>
    <row r="324" spans="1:23" s="118" customFormat="1" hidden="1" x14ac:dyDescent="0.25">
      <c r="A324" s="115" t="str">
        <f t="shared" si="33"/>
        <v xml:space="preserve"> - увеличение стоимости основных средств</v>
      </c>
      <c r="B324" s="115" t="str">
        <f t="shared" si="33"/>
        <v>244</v>
      </c>
      <c r="C324" s="115" t="str">
        <f t="shared" si="33"/>
        <v>310</v>
      </c>
      <c r="D324" s="60" t="s">
        <v>268</v>
      </c>
      <c r="E324" s="61">
        <f>SUM(E325:E333)</f>
        <v>0</v>
      </c>
      <c r="F324" s="61">
        <f>SUM(F325:F333)</f>
        <v>0</v>
      </c>
      <c r="G324" s="61">
        <f>SUM(G325:G333)</f>
        <v>0</v>
      </c>
      <c r="H324" s="117"/>
      <c r="I324" s="117"/>
      <c r="R324" s="61"/>
      <c r="S324" s="61"/>
      <c r="T324" s="61"/>
      <c r="U324" s="61">
        <f t="shared" ref="U324:U355" si="34">E324-R324</f>
        <v>0</v>
      </c>
      <c r="V324" s="61">
        <f t="shared" ref="V324:V355" si="35">F324-S324</f>
        <v>0</v>
      </c>
      <c r="W324" s="61">
        <f t="shared" ref="W324:W355" si="36">G324-T324</f>
        <v>0</v>
      </c>
    </row>
    <row r="325" spans="1:23" s="118" customFormat="1" hidden="1" x14ac:dyDescent="0.25">
      <c r="A325" s="64" t="str">
        <f t="shared" si="33"/>
        <v xml:space="preserve"> - компьютерная техника</v>
      </c>
      <c r="B325" s="64" t="str">
        <f t="shared" si="33"/>
        <v>244</v>
      </c>
      <c r="C325" s="64" t="str">
        <f t="shared" si="33"/>
        <v>310</v>
      </c>
      <c r="D325" s="119" t="s">
        <v>268</v>
      </c>
      <c r="E325" s="120"/>
      <c r="F325" s="120"/>
      <c r="G325" s="120"/>
      <c r="H325" s="117"/>
      <c r="I325" s="117"/>
      <c r="R325" s="120"/>
      <c r="S325" s="120"/>
      <c r="T325" s="120"/>
      <c r="U325" s="120">
        <f t="shared" si="34"/>
        <v>0</v>
      </c>
      <c r="V325" s="120">
        <f t="shared" si="35"/>
        <v>0</v>
      </c>
      <c r="W325" s="120">
        <f t="shared" si="36"/>
        <v>0</v>
      </c>
    </row>
    <row r="326" spans="1:23" s="118" customFormat="1" hidden="1" x14ac:dyDescent="0.25">
      <c r="A326" s="64" t="str">
        <f t="shared" si="33"/>
        <v xml:space="preserve"> - кондиционеры</v>
      </c>
      <c r="B326" s="64" t="str">
        <f t="shared" si="33"/>
        <v>244</v>
      </c>
      <c r="C326" s="64" t="str">
        <f t="shared" si="33"/>
        <v>310</v>
      </c>
      <c r="D326" s="119" t="s">
        <v>268</v>
      </c>
      <c r="E326" s="120"/>
      <c r="F326" s="120"/>
      <c r="G326" s="120"/>
      <c r="H326" s="117"/>
      <c r="I326" s="117"/>
      <c r="R326" s="120"/>
      <c r="S326" s="120"/>
      <c r="T326" s="120"/>
      <c r="U326" s="120">
        <f t="shared" si="34"/>
        <v>0</v>
      </c>
      <c r="V326" s="120">
        <f t="shared" si="35"/>
        <v>0</v>
      </c>
      <c r="W326" s="120">
        <f t="shared" si="36"/>
        <v>0</v>
      </c>
    </row>
    <row r="327" spans="1:23" s="118" customFormat="1" hidden="1" x14ac:dyDescent="0.25">
      <c r="A327" s="64" t="str">
        <f t="shared" si="33"/>
        <v xml:space="preserve"> - мебель</v>
      </c>
      <c r="B327" s="64" t="str">
        <f t="shared" si="33"/>
        <v>244</v>
      </c>
      <c r="C327" s="64" t="str">
        <f t="shared" si="33"/>
        <v>310</v>
      </c>
      <c r="D327" s="119" t="s">
        <v>268</v>
      </c>
      <c r="E327" s="120"/>
      <c r="F327" s="120"/>
      <c r="G327" s="120"/>
      <c r="H327" s="117"/>
      <c r="I327" s="117"/>
      <c r="R327" s="120"/>
      <c r="S327" s="120"/>
      <c r="T327" s="120"/>
      <c r="U327" s="120">
        <f t="shared" si="34"/>
        <v>0</v>
      </c>
      <c r="V327" s="120">
        <f t="shared" si="35"/>
        <v>0</v>
      </c>
      <c r="W327" s="120">
        <f t="shared" si="36"/>
        <v>0</v>
      </c>
    </row>
    <row r="328" spans="1:23" s="118" customFormat="1" hidden="1" x14ac:dyDescent="0.25">
      <c r="A328" s="64" t="str">
        <f t="shared" si="33"/>
        <v xml:space="preserve"> - оборудование</v>
      </c>
      <c r="B328" s="64" t="str">
        <f t="shared" si="33"/>
        <v>244</v>
      </c>
      <c r="C328" s="64" t="str">
        <f t="shared" si="33"/>
        <v>310</v>
      </c>
      <c r="D328" s="119" t="s">
        <v>268</v>
      </c>
      <c r="E328" s="120"/>
      <c r="F328" s="120"/>
      <c r="G328" s="120"/>
      <c r="H328" s="117"/>
      <c r="I328" s="117"/>
      <c r="R328" s="120"/>
      <c r="S328" s="120"/>
      <c r="T328" s="120"/>
      <c r="U328" s="120">
        <f t="shared" si="34"/>
        <v>0</v>
      </c>
      <c r="V328" s="120">
        <f t="shared" si="35"/>
        <v>0</v>
      </c>
      <c r="W328" s="120">
        <f t="shared" si="36"/>
        <v>0</v>
      </c>
    </row>
    <row r="329" spans="1:23" s="118" customFormat="1" hidden="1" x14ac:dyDescent="0.25">
      <c r="A329" s="64" t="str">
        <f t="shared" si="33"/>
        <v xml:space="preserve"> - инструмент и инвентарь</v>
      </c>
      <c r="B329" s="64" t="str">
        <f t="shared" si="33"/>
        <v>244</v>
      </c>
      <c r="C329" s="64" t="str">
        <f t="shared" si="33"/>
        <v>310</v>
      </c>
      <c r="D329" s="119" t="s">
        <v>268</v>
      </c>
      <c r="E329" s="120"/>
      <c r="F329" s="120"/>
      <c r="G329" s="120"/>
      <c r="H329" s="117"/>
      <c r="I329" s="117"/>
      <c r="R329" s="120"/>
      <c r="S329" s="120"/>
      <c r="T329" s="120"/>
      <c r="U329" s="120">
        <f t="shared" si="34"/>
        <v>0</v>
      </c>
      <c r="V329" s="120">
        <f t="shared" si="35"/>
        <v>0</v>
      </c>
      <c r="W329" s="120">
        <f t="shared" si="36"/>
        <v>0</v>
      </c>
    </row>
    <row r="330" spans="1:23" s="118" customFormat="1" hidden="1" x14ac:dyDescent="0.25">
      <c r="A330" s="64" t="str">
        <f t="shared" si="33"/>
        <v xml:space="preserve"> - турникет</v>
      </c>
      <c r="B330" s="64" t="str">
        <f t="shared" si="33"/>
        <v>244</v>
      </c>
      <c r="C330" s="64" t="str">
        <f t="shared" si="33"/>
        <v>310</v>
      </c>
      <c r="D330" s="119" t="s">
        <v>268</v>
      </c>
      <c r="E330" s="120"/>
      <c r="F330" s="120"/>
      <c r="G330" s="120"/>
      <c r="H330" s="117"/>
      <c r="I330" s="117"/>
      <c r="R330" s="120"/>
      <c r="S330" s="120"/>
      <c r="T330" s="120"/>
      <c r="U330" s="120">
        <f t="shared" si="34"/>
        <v>0</v>
      </c>
      <c r="V330" s="120">
        <f t="shared" si="35"/>
        <v>0</v>
      </c>
      <c r="W330" s="120">
        <f t="shared" si="36"/>
        <v>0</v>
      </c>
    </row>
    <row r="331" spans="1:23" s="118" customFormat="1" hidden="1" x14ac:dyDescent="0.25">
      <c r="A331" s="64" t="str">
        <f t="shared" si="33"/>
        <v xml:space="preserve"> - жалюзи</v>
      </c>
      <c r="B331" s="64" t="str">
        <f t="shared" si="33"/>
        <v>244</v>
      </c>
      <c r="C331" s="64" t="str">
        <f t="shared" si="33"/>
        <v>310</v>
      </c>
      <c r="D331" s="119" t="s">
        <v>268</v>
      </c>
      <c r="E331" s="120"/>
      <c r="F331" s="120"/>
      <c r="G331" s="120"/>
      <c r="H331" s="117"/>
      <c r="I331" s="117"/>
      <c r="R331" s="120"/>
      <c r="S331" s="120"/>
      <c r="T331" s="120"/>
      <c r="U331" s="120">
        <f t="shared" si="34"/>
        <v>0</v>
      </c>
      <c r="V331" s="120">
        <f t="shared" si="35"/>
        <v>0</v>
      </c>
      <c r="W331" s="120">
        <f t="shared" si="36"/>
        <v>0</v>
      </c>
    </row>
    <row r="332" spans="1:23" s="118" customFormat="1" hidden="1" x14ac:dyDescent="0.25">
      <c r="A332" s="64" t="str">
        <f t="shared" si="33"/>
        <v xml:space="preserve"> - игрушки</v>
      </c>
      <c r="B332" s="64" t="str">
        <f t="shared" si="33"/>
        <v>244</v>
      </c>
      <c r="C332" s="64" t="str">
        <f t="shared" si="33"/>
        <v>310</v>
      </c>
      <c r="D332" s="119" t="s">
        <v>268</v>
      </c>
      <c r="E332" s="120"/>
      <c r="F332" s="120"/>
      <c r="G332" s="120"/>
      <c r="H332" s="117"/>
      <c r="I332" s="117"/>
      <c r="R332" s="120"/>
      <c r="S332" s="120"/>
      <c r="T332" s="120"/>
      <c r="U332" s="120">
        <f t="shared" si="34"/>
        <v>0</v>
      </c>
      <c r="V332" s="120">
        <f t="shared" si="35"/>
        <v>0</v>
      </c>
      <c r="W332" s="120">
        <f t="shared" si="36"/>
        <v>0</v>
      </c>
    </row>
    <row r="333" spans="1:23" s="118" customFormat="1" hidden="1" x14ac:dyDescent="0.25">
      <c r="A333" s="64" t="str">
        <f t="shared" si="33"/>
        <v xml:space="preserve"> - металлические входные двери</v>
      </c>
      <c r="B333" s="64" t="str">
        <f t="shared" si="33"/>
        <v>244</v>
      </c>
      <c r="C333" s="64" t="str">
        <f t="shared" si="33"/>
        <v>310</v>
      </c>
      <c r="D333" s="119" t="s">
        <v>268</v>
      </c>
      <c r="E333" s="120"/>
      <c r="F333" s="120"/>
      <c r="G333" s="120"/>
      <c r="H333" s="117"/>
      <c r="I333" s="117"/>
      <c r="R333" s="120"/>
      <c r="S333" s="120"/>
      <c r="T333" s="120"/>
      <c r="U333" s="120">
        <f t="shared" si="34"/>
        <v>0</v>
      </c>
      <c r="V333" s="120">
        <f t="shared" si="35"/>
        <v>0</v>
      </c>
      <c r="W333" s="120">
        <f t="shared" si="36"/>
        <v>0</v>
      </c>
    </row>
    <row r="334" spans="1:23" s="45" customFormat="1" ht="27.6" hidden="1" x14ac:dyDescent="0.25">
      <c r="A334" s="52" t="str">
        <f t="shared" si="33"/>
        <v xml:space="preserve"> - увеличение стоимости материальных запасов, всего:</v>
      </c>
      <c r="B334" s="52" t="str">
        <f t="shared" si="33"/>
        <v>244</v>
      </c>
      <c r="C334" s="52" t="str">
        <f t="shared" si="33"/>
        <v>340</v>
      </c>
      <c r="D334" s="104"/>
      <c r="E334" s="62">
        <f>SUM(E335:E349)</f>
        <v>0</v>
      </c>
      <c r="F334" s="62">
        <f>SUM(F335:F349)</f>
        <v>0</v>
      </c>
      <c r="G334" s="62">
        <f>SUM(G335:G349)</f>
        <v>0</v>
      </c>
      <c r="H334" s="63"/>
      <c r="I334" s="63"/>
      <c r="R334" s="62"/>
      <c r="S334" s="62"/>
      <c r="T334" s="62"/>
      <c r="U334" s="62">
        <f t="shared" si="34"/>
        <v>0</v>
      </c>
      <c r="V334" s="62">
        <f t="shared" si="35"/>
        <v>0</v>
      </c>
      <c r="W334" s="62">
        <f t="shared" si="36"/>
        <v>0</v>
      </c>
    </row>
    <row r="335" spans="1:23" s="58" customFormat="1" hidden="1" x14ac:dyDescent="0.25">
      <c r="A335" s="52" t="str">
        <f t="shared" si="33"/>
        <v xml:space="preserve"> - ГСМ</v>
      </c>
      <c r="B335" s="52" t="str">
        <f t="shared" si="33"/>
        <v>244</v>
      </c>
      <c r="C335" s="52" t="str">
        <f t="shared" si="33"/>
        <v>343</v>
      </c>
      <c r="D335" s="53" t="s">
        <v>268</v>
      </c>
      <c r="E335" s="54"/>
      <c r="F335" s="54"/>
      <c r="G335" s="54"/>
      <c r="H335" s="57"/>
      <c r="I335" s="57"/>
      <c r="R335" s="54"/>
      <c r="S335" s="54"/>
      <c r="T335" s="54"/>
      <c r="U335" s="54">
        <f t="shared" si="34"/>
        <v>0</v>
      </c>
      <c r="V335" s="54">
        <f t="shared" si="35"/>
        <v>0</v>
      </c>
      <c r="W335" s="54">
        <f t="shared" si="36"/>
        <v>0</v>
      </c>
    </row>
    <row r="336" spans="1:23" s="58" customFormat="1" hidden="1" x14ac:dyDescent="0.25">
      <c r="A336" s="52" t="str">
        <f t="shared" si="33"/>
        <v xml:space="preserve"> - продукты питания</v>
      </c>
      <c r="B336" s="52" t="str">
        <f t="shared" si="33"/>
        <v>244</v>
      </c>
      <c r="C336" s="52" t="str">
        <f t="shared" si="33"/>
        <v>342</v>
      </c>
      <c r="D336" s="53" t="s">
        <v>268</v>
      </c>
      <c r="E336" s="54"/>
      <c r="F336" s="54"/>
      <c r="G336" s="54"/>
      <c r="H336" s="57"/>
      <c r="I336" s="57"/>
      <c r="R336" s="54"/>
      <c r="S336" s="54"/>
      <c r="T336" s="54"/>
      <c r="U336" s="54">
        <f t="shared" si="34"/>
        <v>0</v>
      </c>
      <c r="V336" s="54">
        <f t="shared" si="35"/>
        <v>0</v>
      </c>
      <c r="W336" s="54">
        <f t="shared" si="36"/>
        <v>0</v>
      </c>
    </row>
    <row r="337" spans="1:23" s="58" customFormat="1" hidden="1" x14ac:dyDescent="0.25">
      <c r="A337" s="52" t="str">
        <f t="shared" si="33"/>
        <v xml:space="preserve"> - расходные материалы к комп.технике</v>
      </c>
      <c r="B337" s="52" t="str">
        <f t="shared" si="33"/>
        <v>244</v>
      </c>
      <c r="C337" s="52" t="str">
        <f t="shared" si="33"/>
        <v>346</v>
      </c>
      <c r="D337" s="53" t="s">
        <v>268</v>
      </c>
      <c r="E337" s="54"/>
      <c r="F337" s="54"/>
      <c r="G337" s="54"/>
      <c r="H337" s="57"/>
      <c r="I337" s="57"/>
      <c r="R337" s="54"/>
      <c r="S337" s="54"/>
      <c r="T337" s="54"/>
      <c r="U337" s="54">
        <f t="shared" si="34"/>
        <v>0</v>
      </c>
      <c r="V337" s="54">
        <f t="shared" si="35"/>
        <v>0</v>
      </c>
      <c r="W337" s="54">
        <f t="shared" si="36"/>
        <v>0</v>
      </c>
    </row>
    <row r="338" spans="1:23" s="58" customFormat="1" hidden="1" x14ac:dyDescent="0.25">
      <c r="A338" s="52" t="str">
        <f t="shared" si="33"/>
        <v xml:space="preserve"> - медикаменты</v>
      </c>
      <c r="B338" s="52" t="str">
        <f t="shared" si="33"/>
        <v>244</v>
      </c>
      <c r="C338" s="52" t="str">
        <f t="shared" si="33"/>
        <v>341</v>
      </c>
      <c r="D338" s="53" t="s">
        <v>268</v>
      </c>
      <c r="E338" s="54"/>
      <c r="F338" s="54"/>
      <c r="G338" s="54"/>
      <c r="H338" s="57"/>
      <c r="I338" s="57"/>
      <c r="R338" s="54"/>
      <c r="S338" s="54"/>
      <c r="T338" s="54"/>
      <c r="U338" s="54">
        <f t="shared" si="34"/>
        <v>0</v>
      </c>
      <c r="V338" s="54">
        <f t="shared" si="35"/>
        <v>0</v>
      </c>
      <c r="W338" s="54">
        <f t="shared" si="36"/>
        <v>0</v>
      </c>
    </row>
    <row r="339" spans="1:23" s="58" customFormat="1" hidden="1" x14ac:dyDescent="0.25">
      <c r="A339" s="52" t="str">
        <f t="shared" si="33"/>
        <v xml:space="preserve"> - строительные материалы</v>
      </c>
      <c r="B339" s="52" t="str">
        <f t="shared" si="33"/>
        <v>244</v>
      </c>
      <c r="C339" s="52" t="str">
        <f t="shared" si="33"/>
        <v>344</v>
      </c>
      <c r="D339" s="53" t="s">
        <v>268</v>
      </c>
      <c r="E339" s="54"/>
      <c r="F339" s="54"/>
      <c r="G339" s="54"/>
      <c r="H339" s="57"/>
      <c r="I339" s="57"/>
      <c r="R339" s="54"/>
      <c r="S339" s="54"/>
      <c r="T339" s="54"/>
      <c r="U339" s="54">
        <f t="shared" si="34"/>
        <v>0</v>
      </c>
      <c r="V339" s="54">
        <f t="shared" si="35"/>
        <v>0</v>
      </c>
      <c r="W339" s="54">
        <f t="shared" si="36"/>
        <v>0</v>
      </c>
    </row>
    <row r="340" spans="1:23" s="58" customFormat="1" hidden="1" x14ac:dyDescent="0.25">
      <c r="A340" s="52" t="str">
        <f t="shared" si="33"/>
        <v xml:space="preserve"> - ворота, калитка</v>
      </c>
      <c r="B340" s="52" t="str">
        <f t="shared" si="33"/>
        <v>244</v>
      </c>
      <c r="C340" s="52" t="str">
        <f t="shared" si="33"/>
        <v>344</v>
      </c>
      <c r="D340" s="53" t="s">
        <v>268</v>
      </c>
      <c r="E340" s="54"/>
      <c r="F340" s="54"/>
      <c r="G340" s="54"/>
      <c r="H340" s="57"/>
      <c r="I340" s="57"/>
      <c r="R340" s="54"/>
      <c r="S340" s="54"/>
      <c r="T340" s="54"/>
      <c r="U340" s="54">
        <f t="shared" si="34"/>
        <v>0</v>
      </c>
      <c r="V340" s="54">
        <f t="shared" si="35"/>
        <v>0</v>
      </c>
      <c r="W340" s="54">
        <f t="shared" si="36"/>
        <v>0</v>
      </c>
    </row>
    <row r="341" spans="1:23" s="58" customFormat="1" hidden="1" x14ac:dyDescent="0.25">
      <c r="A341" s="52" t="str">
        <f t="shared" ref="A341:C349" si="37">A161</f>
        <v xml:space="preserve"> - канцелярские товары</v>
      </c>
      <c r="B341" s="52" t="str">
        <f t="shared" si="37"/>
        <v>244</v>
      </c>
      <c r="C341" s="52" t="str">
        <f t="shared" si="37"/>
        <v>346</v>
      </c>
      <c r="D341" s="53" t="s">
        <v>268</v>
      </c>
      <c r="E341" s="54"/>
      <c r="F341" s="54"/>
      <c r="G341" s="54"/>
      <c r="H341" s="57"/>
      <c r="I341" s="57"/>
      <c r="R341" s="54"/>
      <c r="S341" s="54"/>
      <c r="T341" s="54"/>
      <c r="U341" s="54">
        <f t="shared" si="34"/>
        <v>0</v>
      </c>
      <c r="V341" s="54">
        <f t="shared" si="35"/>
        <v>0</v>
      </c>
      <c r="W341" s="54">
        <f t="shared" si="36"/>
        <v>0</v>
      </c>
    </row>
    <row r="342" spans="1:23" s="58" customFormat="1" hidden="1" x14ac:dyDescent="0.25">
      <c r="A342" s="52" t="str">
        <f t="shared" si="37"/>
        <v xml:space="preserve"> - хозяйственные товары, электрика</v>
      </c>
      <c r="B342" s="52" t="str">
        <f t="shared" si="37"/>
        <v>244</v>
      </c>
      <c r="C342" s="52" t="str">
        <f t="shared" si="37"/>
        <v>346</v>
      </c>
      <c r="D342" s="53" t="s">
        <v>268</v>
      </c>
      <c r="E342" s="54"/>
      <c r="F342" s="54"/>
      <c r="G342" s="54"/>
      <c r="H342" s="57"/>
      <c r="I342" s="57"/>
      <c r="R342" s="54"/>
      <c r="S342" s="54"/>
      <c r="T342" s="54"/>
      <c r="U342" s="54">
        <f t="shared" si="34"/>
        <v>0</v>
      </c>
      <c r="V342" s="54">
        <f t="shared" si="35"/>
        <v>0</v>
      </c>
      <c r="W342" s="54">
        <f t="shared" si="36"/>
        <v>0</v>
      </c>
    </row>
    <row r="343" spans="1:23" s="58" customFormat="1" hidden="1" x14ac:dyDescent="0.25">
      <c r="A343" s="52" t="str">
        <f t="shared" si="37"/>
        <v xml:space="preserve"> - бланки</v>
      </c>
      <c r="B343" s="52" t="str">
        <f t="shared" si="37"/>
        <v>244</v>
      </c>
      <c r="C343" s="52" t="str">
        <f t="shared" si="37"/>
        <v>346</v>
      </c>
      <c r="D343" s="53"/>
      <c r="E343" s="54"/>
      <c r="F343" s="54"/>
      <c r="G343" s="54"/>
      <c r="H343" s="57"/>
      <c r="I343" s="57"/>
      <c r="R343" s="54"/>
      <c r="S343" s="54"/>
      <c r="T343" s="54"/>
      <c r="U343" s="54">
        <f t="shared" si="34"/>
        <v>0</v>
      </c>
      <c r="V343" s="54">
        <f t="shared" si="35"/>
        <v>0</v>
      </c>
      <c r="W343" s="54">
        <f t="shared" si="36"/>
        <v>0</v>
      </c>
    </row>
    <row r="344" spans="1:23" s="58" customFormat="1" hidden="1" x14ac:dyDescent="0.25">
      <c r="A344" s="52" t="str">
        <f t="shared" si="37"/>
        <v xml:space="preserve"> - моющие</v>
      </c>
      <c r="B344" s="52" t="str">
        <f t="shared" si="37"/>
        <v>244</v>
      </c>
      <c r="C344" s="52" t="str">
        <f t="shared" si="37"/>
        <v>346</v>
      </c>
      <c r="D344" s="53"/>
      <c r="E344" s="54"/>
      <c r="F344" s="54"/>
      <c r="G344" s="54"/>
      <c r="H344" s="57"/>
      <c r="I344" s="57"/>
      <c r="R344" s="54"/>
      <c r="S344" s="54"/>
      <c r="T344" s="54"/>
      <c r="U344" s="54">
        <f t="shared" si="34"/>
        <v>0</v>
      </c>
      <c r="V344" s="54">
        <f t="shared" si="35"/>
        <v>0</v>
      </c>
      <c r="W344" s="54">
        <f t="shared" si="36"/>
        <v>0</v>
      </c>
    </row>
    <row r="345" spans="1:23" s="58" customFormat="1" hidden="1" x14ac:dyDescent="0.25">
      <c r="A345" s="52" t="str">
        <f t="shared" si="37"/>
        <v xml:space="preserve"> - новогодние подарки детям сотрудников</v>
      </c>
      <c r="B345" s="52" t="str">
        <f t="shared" si="37"/>
        <v>244</v>
      </c>
      <c r="C345" s="52" t="str">
        <f t="shared" si="37"/>
        <v>349</v>
      </c>
      <c r="D345" s="53"/>
      <c r="E345" s="54"/>
      <c r="F345" s="54"/>
      <c r="G345" s="54"/>
      <c r="H345" s="57"/>
      <c r="I345" s="57"/>
      <c r="R345" s="54"/>
      <c r="S345" s="54"/>
      <c r="T345" s="54"/>
      <c r="U345" s="54">
        <f t="shared" si="34"/>
        <v>0</v>
      </c>
      <c r="V345" s="54">
        <f t="shared" si="35"/>
        <v>0</v>
      </c>
      <c r="W345" s="54">
        <f t="shared" si="36"/>
        <v>0</v>
      </c>
    </row>
    <row r="346" spans="1:23" s="58" customFormat="1" hidden="1" x14ac:dyDescent="0.25">
      <c r="A346" s="52" t="str">
        <f t="shared" si="37"/>
        <v xml:space="preserve"> - новогодние подарки сотрудникам</v>
      </c>
      <c r="B346" s="52" t="str">
        <f t="shared" si="37"/>
        <v>244</v>
      </c>
      <c r="C346" s="52" t="str">
        <f t="shared" si="37"/>
        <v>349</v>
      </c>
      <c r="D346" s="53"/>
      <c r="E346" s="54"/>
      <c r="F346" s="54"/>
      <c r="G346" s="54"/>
      <c r="H346" s="57"/>
      <c r="I346" s="57"/>
      <c r="R346" s="54"/>
      <c r="S346" s="54"/>
      <c r="T346" s="54"/>
      <c r="U346" s="54">
        <f t="shared" si="34"/>
        <v>0</v>
      </c>
      <c r="V346" s="54">
        <f t="shared" si="35"/>
        <v>0</v>
      </c>
      <c r="W346" s="54">
        <f t="shared" si="36"/>
        <v>0</v>
      </c>
    </row>
    <row r="347" spans="1:23" s="58" customFormat="1" hidden="1" x14ac:dyDescent="0.25">
      <c r="A347" s="52" t="str">
        <f t="shared" si="37"/>
        <v xml:space="preserve"> - прочие материальные запасы</v>
      </c>
      <c r="B347" s="52" t="str">
        <f t="shared" si="37"/>
        <v>244</v>
      </c>
      <c r="C347" s="52" t="str">
        <f t="shared" si="37"/>
        <v>346</v>
      </c>
      <c r="D347" s="53"/>
      <c r="E347" s="54"/>
      <c r="F347" s="54"/>
      <c r="G347" s="54"/>
      <c r="H347" s="57"/>
      <c r="I347" s="57"/>
      <c r="R347" s="54"/>
      <c r="S347" s="54"/>
      <c r="T347" s="54"/>
      <c r="U347" s="54">
        <f t="shared" si="34"/>
        <v>0</v>
      </c>
      <c r="V347" s="54">
        <f t="shared" si="35"/>
        <v>0</v>
      </c>
      <c r="W347" s="54">
        <f t="shared" si="36"/>
        <v>0</v>
      </c>
    </row>
    <row r="348" spans="1:23" s="58" customFormat="1" hidden="1" x14ac:dyDescent="0.25">
      <c r="A348" s="52" t="str">
        <f t="shared" si="37"/>
        <v xml:space="preserve"> - спецодежда МОП</v>
      </c>
      <c r="B348" s="52" t="str">
        <f t="shared" si="37"/>
        <v>244</v>
      </c>
      <c r="C348" s="52" t="str">
        <f t="shared" si="37"/>
        <v>345</v>
      </c>
      <c r="D348" s="53"/>
      <c r="E348" s="54"/>
      <c r="F348" s="54"/>
      <c r="G348" s="54"/>
      <c r="H348" s="57"/>
      <c r="I348" s="57"/>
      <c r="R348" s="54"/>
      <c r="S348" s="54"/>
      <c r="T348" s="54"/>
      <c r="U348" s="54">
        <f t="shared" si="34"/>
        <v>0</v>
      </c>
      <c r="V348" s="54">
        <f t="shared" si="35"/>
        <v>0</v>
      </c>
      <c r="W348" s="54">
        <f t="shared" si="36"/>
        <v>0</v>
      </c>
    </row>
    <row r="349" spans="1:23" s="58" customFormat="1" hidden="1" x14ac:dyDescent="0.25">
      <c r="A349" s="52" t="str">
        <f t="shared" si="37"/>
        <v xml:space="preserve"> - запчасти для а/м</v>
      </c>
      <c r="B349" s="52" t="str">
        <f t="shared" si="37"/>
        <v>244</v>
      </c>
      <c r="C349" s="52" t="str">
        <f t="shared" si="37"/>
        <v>346</v>
      </c>
      <c r="D349" s="53"/>
      <c r="E349" s="54"/>
      <c r="F349" s="54"/>
      <c r="G349" s="54"/>
      <c r="H349" s="57"/>
      <c r="I349" s="57"/>
      <c r="R349" s="54"/>
      <c r="S349" s="54"/>
      <c r="T349" s="54"/>
      <c r="U349" s="54">
        <f t="shared" si="34"/>
        <v>0</v>
      </c>
      <c r="V349" s="54">
        <f t="shared" si="35"/>
        <v>0</v>
      </c>
      <c r="W349" s="54">
        <f t="shared" si="36"/>
        <v>0</v>
      </c>
    </row>
    <row r="350" spans="1:23" s="45" customFormat="1" x14ac:dyDescent="0.25">
      <c r="A350" s="701" t="s">
        <v>1178</v>
      </c>
      <c r="B350" s="702"/>
      <c r="C350" s="702"/>
      <c r="D350" s="702" t="s">
        <v>37</v>
      </c>
      <c r="E350" s="703">
        <f>SUM(E351,E352,E353,E354,E355,E356,E357,E365,E363,E389,E407,E409,E410,E411,E412,E414,E424,E361,E364,E408,E360,E362,E406,E413)</f>
        <v>71003.27</v>
      </c>
      <c r="F350" s="703">
        <f>SUM(F351,F352,F353,F354,F355,F356,F357,F365,F363,F389,F407,F409,F410,F411,F412,F414,F424,F361,F364,F408,F360,F362,F406,F413)</f>
        <v>70000</v>
      </c>
      <c r="G350" s="703">
        <f>SUM(G351,G352,G353,G354,G355,G356,G357,G365,G363,G389,G407,G409,G410,G411,G412,G414,G424,G361,G364,G408,G360,G362,G406,G413)</f>
        <v>70000</v>
      </c>
      <c r="H350" s="63"/>
      <c r="R350" s="61"/>
      <c r="S350" s="61"/>
      <c r="T350" s="61"/>
      <c r="U350" s="61">
        <f t="shared" si="34"/>
        <v>71003.27</v>
      </c>
      <c r="V350" s="61">
        <f t="shared" si="35"/>
        <v>70000</v>
      </c>
      <c r="W350" s="61">
        <f t="shared" si="36"/>
        <v>70000</v>
      </c>
    </row>
    <row r="351" spans="1:23" hidden="1" x14ac:dyDescent="0.25">
      <c r="A351" s="441" t="str">
        <f>A81</f>
        <v xml:space="preserve"> - заработная плата</v>
      </c>
      <c r="B351" s="52" t="str">
        <f t="shared" ref="A351:C370" si="38">B81</f>
        <v>111</v>
      </c>
      <c r="C351" s="52" t="str">
        <f t="shared" si="38"/>
        <v>211</v>
      </c>
      <c r="D351" s="53" t="s">
        <v>37</v>
      </c>
      <c r="E351" s="54"/>
      <c r="F351" s="54"/>
      <c r="G351" s="54"/>
      <c r="H351" s="56"/>
      <c r="R351" s="54"/>
      <c r="S351" s="54"/>
      <c r="T351" s="54"/>
      <c r="U351" s="54">
        <f t="shared" si="34"/>
        <v>0</v>
      </c>
      <c r="V351" s="54">
        <f t="shared" si="35"/>
        <v>0</v>
      </c>
      <c r="W351" s="54">
        <f t="shared" si="36"/>
        <v>0</v>
      </c>
    </row>
    <row r="352" spans="1:23" hidden="1" x14ac:dyDescent="0.25">
      <c r="A352" s="52" t="str">
        <f t="shared" si="38"/>
        <v xml:space="preserve"> - 3 дн б/л за счет работодателя</v>
      </c>
      <c r="B352" s="52" t="str">
        <f t="shared" si="38"/>
        <v>111</v>
      </c>
      <c r="C352" s="52" t="str">
        <f t="shared" si="38"/>
        <v>266</v>
      </c>
      <c r="D352" s="53" t="s">
        <v>37</v>
      </c>
      <c r="E352" s="54"/>
      <c r="F352" s="54"/>
      <c r="G352" s="54"/>
      <c r="H352" s="56"/>
      <c r="R352" s="54"/>
      <c r="S352" s="54"/>
      <c r="T352" s="54"/>
      <c r="U352" s="54">
        <f t="shared" si="34"/>
        <v>0</v>
      </c>
      <c r="V352" s="54">
        <f t="shared" si="35"/>
        <v>0</v>
      </c>
      <c r="W352" s="54">
        <f t="shared" si="36"/>
        <v>0</v>
      </c>
    </row>
    <row r="353" spans="1:23" s="58" customFormat="1" hidden="1" x14ac:dyDescent="0.25">
      <c r="A353" s="52" t="str">
        <f t="shared" si="38"/>
        <v xml:space="preserve"> - пособие по уходу за ребенком</v>
      </c>
      <c r="B353" s="52" t="str">
        <f t="shared" si="38"/>
        <v>112</v>
      </c>
      <c r="C353" s="52" t="str">
        <f t="shared" si="38"/>
        <v>266</v>
      </c>
      <c r="D353" s="53" t="s">
        <v>37</v>
      </c>
      <c r="E353" s="54"/>
      <c r="F353" s="54"/>
      <c r="G353" s="54"/>
      <c r="H353" s="57"/>
      <c r="I353" s="57"/>
      <c r="R353" s="54"/>
      <c r="S353" s="54"/>
      <c r="T353" s="54"/>
      <c r="U353" s="54">
        <f t="shared" si="34"/>
        <v>0</v>
      </c>
      <c r="V353" s="54">
        <f t="shared" si="35"/>
        <v>0</v>
      </c>
      <c r="W353" s="54">
        <f t="shared" si="36"/>
        <v>0</v>
      </c>
    </row>
    <row r="354" spans="1:23" s="58" customFormat="1" hidden="1" x14ac:dyDescent="0.25">
      <c r="A354" s="52" t="str">
        <f t="shared" si="38"/>
        <v xml:space="preserve"> - предварительный мед.осмотр (возм.расх.)</v>
      </c>
      <c r="B354" s="52" t="str">
        <f t="shared" si="38"/>
        <v>112</v>
      </c>
      <c r="C354" s="52" t="str">
        <f t="shared" si="38"/>
        <v>226</v>
      </c>
      <c r="D354" s="53" t="s">
        <v>37</v>
      </c>
      <c r="E354" s="54"/>
      <c r="F354" s="54"/>
      <c r="G354" s="54"/>
      <c r="H354" s="57"/>
      <c r="I354" s="57"/>
      <c r="R354" s="54"/>
      <c r="S354" s="54"/>
      <c r="T354" s="54"/>
      <c r="U354" s="54">
        <f t="shared" si="34"/>
        <v>0</v>
      </c>
      <c r="V354" s="54">
        <f t="shared" si="35"/>
        <v>0</v>
      </c>
      <c r="W354" s="54">
        <f t="shared" si="36"/>
        <v>0</v>
      </c>
    </row>
    <row r="355" spans="1:23" s="58" customFormat="1" hidden="1" x14ac:dyDescent="0.25">
      <c r="A355" s="52" t="str">
        <f t="shared" si="38"/>
        <v xml:space="preserve"> - НДФЛ</v>
      </c>
      <c r="B355" s="52" t="str">
        <f t="shared" si="38"/>
        <v>112</v>
      </c>
      <c r="C355" s="52" t="str">
        <f t="shared" si="38"/>
        <v>266</v>
      </c>
      <c r="D355" s="53" t="s">
        <v>37</v>
      </c>
      <c r="E355" s="54"/>
      <c r="F355" s="54"/>
      <c r="G355" s="54"/>
      <c r="H355" s="57"/>
      <c r="I355" s="57"/>
      <c r="R355" s="54"/>
      <c r="S355" s="54"/>
      <c r="T355" s="54"/>
      <c r="U355" s="54">
        <f t="shared" si="34"/>
        <v>0</v>
      </c>
      <c r="V355" s="54">
        <f t="shared" si="35"/>
        <v>0</v>
      </c>
      <c r="W355" s="54">
        <f t="shared" si="36"/>
        <v>0</v>
      </c>
    </row>
    <row r="356" spans="1:23" hidden="1" x14ac:dyDescent="0.25">
      <c r="A356" s="52" t="str">
        <f t="shared" si="38"/>
        <v xml:space="preserve"> - начисления на оплату труда</v>
      </c>
      <c r="B356" s="52" t="str">
        <f t="shared" si="38"/>
        <v>119</v>
      </c>
      <c r="C356" s="52" t="str">
        <f t="shared" si="38"/>
        <v>213</v>
      </c>
      <c r="D356" s="53" t="s">
        <v>37</v>
      </c>
      <c r="E356" s="54"/>
      <c r="F356" s="54"/>
      <c r="G356" s="54"/>
      <c r="H356" s="56"/>
      <c r="R356" s="54"/>
      <c r="S356" s="54"/>
      <c r="T356" s="54"/>
      <c r="U356" s="54">
        <f t="shared" ref="U356:U387" si="39">E356-R356</f>
        <v>0</v>
      </c>
      <c r="V356" s="54">
        <f t="shared" ref="V356:V387" si="40">F356-S356</f>
        <v>0</v>
      </c>
      <c r="W356" s="54">
        <f t="shared" ref="W356:W387" si="41">G356-T356</f>
        <v>0</v>
      </c>
    </row>
    <row r="357" spans="1:23" s="45" customFormat="1" hidden="1" x14ac:dyDescent="0.25">
      <c r="A357" s="52" t="str">
        <f t="shared" si="38"/>
        <v xml:space="preserve"> - услуги связи, всего:</v>
      </c>
      <c r="B357" s="52" t="str">
        <f t="shared" si="38"/>
        <v>244</v>
      </c>
      <c r="C357" s="52" t="str">
        <f t="shared" si="38"/>
        <v>221</v>
      </c>
      <c r="D357" s="60"/>
      <c r="E357" s="61">
        <f>SUM(E358:E359)</f>
        <v>0</v>
      </c>
      <c r="F357" s="61">
        <f>SUM(F358:F359)</f>
        <v>0</v>
      </c>
      <c r="G357" s="61">
        <f>SUM(G358:G359)</f>
        <v>0</v>
      </c>
      <c r="H357" s="63"/>
      <c r="R357" s="61"/>
      <c r="S357" s="61"/>
      <c r="T357" s="61"/>
      <c r="U357" s="61">
        <f t="shared" si="39"/>
        <v>0</v>
      </c>
      <c r="V357" s="61">
        <f t="shared" si="40"/>
        <v>0</v>
      </c>
      <c r="W357" s="61">
        <f t="shared" si="41"/>
        <v>0</v>
      </c>
    </row>
    <row r="358" spans="1:23" ht="27.6" hidden="1" x14ac:dyDescent="0.25">
      <c r="A358" s="52" t="str">
        <f t="shared" si="38"/>
        <v xml:space="preserve">   в том числе:
    - ГТС и МТС</v>
      </c>
      <c r="B358" s="52" t="str">
        <f t="shared" si="38"/>
        <v>244</v>
      </c>
      <c r="C358" s="52" t="str">
        <f t="shared" si="38"/>
        <v>221</v>
      </c>
      <c r="D358" s="53"/>
      <c r="E358" s="54"/>
      <c r="F358" s="54"/>
      <c r="G358" s="54"/>
      <c r="H358" s="56"/>
      <c r="I358" s="56"/>
      <c r="R358" s="54"/>
      <c r="S358" s="54"/>
      <c r="T358" s="54"/>
      <c r="U358" s="54">
        <f t="shared" si="39"/>
        <v>0</v>
      </c>
      <c r="V358" s="54">
        <f t="shared" si="40"/>
        <v>0</v>
      </c>
      <c r="W358" s="54">
        <f t="shared" si="41"/>
        <v>0</v>
      </c>
    </row>
    <row r="359" spans="1:23" s="58" customFormat="1" hidden="1" x14ac:dyDescent="0.25">
      <c r="A359" s="52" t="str">
        <f t="shared" si="38"/>
        <v xml:space="preserve">    - интернет </v>
      </c>
      <c r="B359" s="52" t="str">
        <f t="shared" si="38"/>
        <v>244</v>
      </c>
      <c r="C359" s="52" t="str">
        <f t="shared" si="38"/>
        <v>221</v>
      </c>
      <c r="D359" s="53"/>
      <c r="E359" s="54"/>
      <c r="F359" s="54"/>
      <c r="G359" s="54"/>
      <c r="H359" s="57"/>
      <c r="I359" s="57"/>
      <c r="R359" s="54"/>
      <c r="S359" s="54"/>
      <c r="T359" s="54"/>
      <c r="U359" s="54">
        <f t="shared" si="39"/>
        <v>0</v>
      </c>
      <c r="V359" s="54">
        <f t="shared" si="40"/>
        <v>0</v>
      </c>
      <c r="W359" s="54">
        <f t="shared" si="41"/>
        <v>0</v>
      </c>
    </row>
    <row r="360" spans="1:23" s="58" customFormat="1" hidden="1" x14ac:dyDescent="0.25">
      <c r="A360" s="52" t="str">
        <f t="shared" si="38"/>
        <v xml:space="preserve"> - транспортные расходы</v>
      </c>
      <c r="B360" s="52" t="str">
        <f t="shared" si="38"/>
        <v>244</v>
      </c>
      <c r="C360" s="52" t="str">
        <f t="shared" si="38"/>
        <v>222</v>
      </c>
      <c r="D360" s="53"/>
      <c r="E360" s="54"/>
      <c r="F360" s="54"/>
      <c r="G360" s="54"/>
      <c r="I360" s="57"/>
      <c r="R360" s="54"/>
      <c r="S360" s="54"/>
      <c r="T360" s="54"/>
      <c r="U360" s="54">
        <f t="shared" si="39"/>
        <v>0</v>
      </c>
      <c r="V360" s="54">
        <f t="shared" si="40"/>
        <v>0</v>
      </c>
      <c r="W360" s="54">
        <f t="shared" si="41"/>
        <v>0</v>
      </c>
    </row>
    <row r="361" spans="1:23" hidden="1" x14ac:dyDescent="0.25">
      <c r="A361" s="52" t="str">
        <f t="shared" si="38"/>
        <v xml:space="preserve"> - коммунальные расходы (без ЖБО)</v>
      </c>
      <c r="B361" s="52" t="str">
        <f t="shared" si="38"/>
        <v>244</v>
      </c>
      <c r="C361" s="52" t="str">
        <f t="shared" si="38"/>
        <v>223</v>
      </c>
      <c r="D361" s="53"/>
      <c r="E361" s="54"/>
      <c r="F361" s="54"/>
      <c r="G361" s="54"/>
      <c r="H361" s="56"/>
      <c r="I361" s="56"/>
      <c r="R361" s="54"/>
      <c r="S361" s="54"/>
      <c r="T361" s="54"/>
      <c r="U361" s="54">
        <f t="shared" si="39"/>
        <v>0</v>
      </c>
      <c r="V361" s="54">
        <f t="shared" si="40"/>
        <v>0</v>
      </c>
      <c r="W361" s="54">
        <f t="shared" si="41"/>
        <v>0</v>
      </c>
    </row>
    <row r="362" spans="1:23" hidden="1" x14ac:dyDescent="0.25">
      <c r="A362" s="52" t="str">
        <f t="shared" si="38"/>
        <v xml:space="preserve"> - коммунальные расходы (без ЖБО)</v>
      </c>
      <c r="B362" s="52" t="str">
        <f t="shared" si="38"/>
        <v>247</v>
      </c>
      <c r="C362" s="52" t="str">
        <f t="shared" si="38"/>
        <v>223</v>
      </c>
      <c r="D362" s="53"/>
      <c r="E362" s="54"/>
      <c r="F362" s="54"/>
      <c r="G362" s="54"/>
      <c r="H362" s="56"/>
      <c r="I362" s="56"/>
      <c r="R362" s="54"/>
      <c r="S362" s="54"/>
      <c r="T362" s="54"/>
      <c r="U362" s="54">
        <f t="shared" si="39"/>
        <v>0</v>
      </c>
      <c r="V362" s="54">
        <f t="shared" si="40"/>
        <v>0</v>
      </c>
      <c r="W362" s="54">
        <f t="shared" si="41"/>
        <v>0</v>
      </c>
    </row>
    <row r="363" spans="1:23" hidden="1" x14ac:dyDescent="0.25">
      <c r="A363" s="52" t="str">
        <f t="shared" si="38"/>
        <v xml:space="preserve">    - ЖБО </v>
      </c>
      <c r="B363" s="52" t="str">
        <f t="shared" si="38"/>
        <v>244</v>
      </c>
      <c r="C363" s="52" t="str">
        <f t="shared" si="38"/>
        <v>223</v>
      </c>
      <c r="D363" s="53"/>
      <c r="E363" s="54"/>
      <c r="F363" s="54"/>
      <c r="G363" s="54"/>
      <c r="H363" s="58"/>
      <c r="I363" s="57"/>
      <c r="R363" s="54"/>
      <c r="S363" s="54"/>
      <c r="T363" s="54"/>
      <c r="U363" s="54">
        <f t="shared" si="39"/>
        <v>0</v>
      </c>
      <c r="V363" s="54">
        <f t="shared" si="40"/>
        <v>0</v>
      </c>
      <c r="W363" s="54">
        <f t="shared" si="41"/>
        <v>0</v>
      </c>
    </row>
    <row r="364" spans="1:23" s="58" customFormat="1" hidden="1" x14ac:dyDescent="0.25">
      <c r="A364" s="52" t="str">
        <f t="shared" si="38"/>
        <v xml:space="preserve"> - арендная плата </v>
      </c>
      <c r="B364" s="52" t="str">
        <f t="shared" si="38"/>
        <v>244</v>
      </c>
      <c r="C364" s="52" t="str">
        <f t="shared" si="38"/>
        <v>224</v>
      </c>
      <c r="D364" s="53"/>
      <c r="E364" s="54"/>
      <c r="F364" s="54"/>
      <c r="G364" s="54"/>
      <c r="H364" s="57"/>
      <c r="I364" s="57"/>
      <c r="R364" s="54"/>
      <c r="S364" s="54"/>
      <c r="T364" s="54"/>
      <c r="U364" s="54">
        <f t="shared" si="39"/>
        <v>0</v>
      </c>
      <c r="V364" s="54">
        <f t="shared" si="40"/>
        <v>0</v>
      </c>
      <c r="W364" s="54">
        <f t="shared" si="41"/>
        <v>0</v>
      </c>
    </row>
    <row r="365" spans="1:23" s="45" customFormat="1" hidden="1" x14ac:dyDescent="0.25">
      <c r="A365" s="52" t="str">
        <f t="shared" si="38"/>
        <v xml:space="preserve"> - услуги по содержанию имущества, всего:</v>
      </c>
      <c r="B365" s="52" t="str">
        <f t="shared" si="38"/>
        <v>244</v>
      </c>
      <c r="C365" s="52" t="str">
        <f t="shared" si="38"/>
        <v>225</v>
      </c>
      <c r="D365" s="104"/>
      <c r="E365" s="62">
        <f>SUM(E366:E388)</f>
        <v>0</v>
      </c>
      <c r="F365" s="62">
        <f>SUM(F366:F388)</f>
        <v>0</v>
      </c>
      <c r="G365" s="62">
        <f>SUM(G366:G388)</f>
        <v>0</v>
      </c>
      <c r="H365" s="63"/>
      <c r="I365" s="63"/>
      <c r="R365" s="62"/>
      <c r="S365" s="62"/>
      <c r="T365" s="62"/>
      <c r="U365" s="62">
        <f t="shared" si="39"/>
        <v>0</v>
      </c>
      <c r="V365" s="62">
        <f t="shared" si="40"/>
        <v>0</v>
      </c>
      <c r="W365" s="62">
        <f t="shared" si="41"/>
        <v>0</v>
      </c>
    </row>
    <row r="366" spans="1:23" ht="41.4" hidden="1" x14ac:dyDescent="0.25">
      <c r="A366" s="52" t="str">
        <f t="shared" si="38"/>
        <v xml:space="preserve">   в том числе:
    - тек.ремонт (отопление, водопровод, электросетей)</v>
      </c>
      <c r="B366" s="52" t="str">
        <f t="shared" si="38"/>
        <v>244</v>
      </c>
      <c r="C366" s="52" t="str">
        <f t="shared" si="38"/>
        <v>225</v>
      </c>
      <c r="D366" s="53"/>
      <c r="E366" s="54"/>
      <c r="F366" s="54"/>
      <c r="G366" s="54"/>
      <c r="H366" s="56"/>
      <c r="I366" s="56"/>
      <c r="R366" s="54"/>
      <c r="S366" s="54"/>
      <c r="T366" s="54"/>
      <c r="U366" s="54">
        <f t="shared" si="39"/>
        <v>0</v>
      </c>
      <c r="V366" s="54">
        <f t="shared" si="40"/>
        <v>0</v>
      </c>
      <c r="W366" s="54">
        <f t="shared" si="41"/>
        <v>0</v>
      </c>
    </row>
    <row r="367" spans="1:23" s="66" customFormat="1" hidden="1" x14ac:dyDescent="0.25">
      <c r="A367" s="52" t="str">
        <f t="shared" si="38"/>
        <v xml:space="preserve">    - очистка кровли от снега</v>
      </c>
      <c r="B367" s="52" t="str">
        <f t="shared" si="38"/>
        <v>244</v>
      </c>
      <c r="C367" s="52" t="str">
        <f t="shared" si="38"/>
        <v>225</v>
      </c>
      <c r="D367" s="53"/>
      <c r="E367" s="54"/>
      <c r="F367" s="54"/>
      <c r="G367" s="54"/>
      <c r="I367" s="67"/>
      <c r="R367" s="54"/>
      <c r="S367" s="54"/>
      <c r="T367" s="54"/>
      <c r="U367" s="54">
        <f t="shared" si="39"/>
        <v>0</v>
      </c>
      <c r="V367" s="54">
        <f t="shared" si="40"/>
        <v>0</v>
      </c>
      <c r="W367" s="54">
        <f t="shared" si="41"/>
        <v>0</v>
      </c>
    </row>
    <row r="368" spans="1:23" ht="27.6" hidden="1" x14ac:dyDescent="0.25">
      <c r="A368" s="52" t="str">
        <f t="shared" si="38"/>
        <v xml:space="preserve">    - текущий ремонт кровли, крыльца, заделка швов, асфальтирование территории</v>
      </c>
      <c r="B368" s="52" t="str">
        <f t="shared" si="38"/>
        <v>244</v>
      </c>
      <c r="C368" s="52" t="str">
        <f t="shared" si="38"/>
        <v>225</v>
      </c>
      <c r="D368" s="53"/>
      <c r="E368" s="54"/>
      <c r="F368" s="54"/>
      <c r="G368" s="54"/>
      <c r="H368" s="56"/>
      <c r="I368" s="56"/>
      <c r="R368" s="54"/>
      <c r="S368" s="54"/>
      <c r="T368" s="54"/>
      <c r="U368" s="54">
        <f t="shared" si="39"/>
        <v>0</v>
      </c>
      <c r="V368" s="54">
        <f t="shared" si="40"/>
        <v>0</v>
      </c>
      <c r="W368" s="54">
        <f t="shared" si="41"/>
        <v>0</v>
      </c>
    </row>
    <row r="369" spans="1:23" hidden="1" x14ac:dyDescent="0.25">
      <c r="A369" s="52" t="str">
        <f t="shared" si="38"/>
        <v xml:space="preserve">    - аварийно-техническое обслуживание зданий</v>
      </c>
      <c r="B369" s="52" t="str">
        <f t="shared" si="38"/>
        <v>244</v>
      </c>
      <c r="C369" s="52" t="str">
        <f t="shared" si="38"/>
        <v>225</v>
      </c>
      <c r="D369" s="53"/>
      <c r="E369" s="54"/>
      <c r="F369" s="54"/>
      <c r="G369" s="54"/>
      <c r="H369" s="56"/>
      <c r="I369" s="56"/>
      <c r="R369" s="54"/>
      <c r="S369" s="54"/>
      <c r="T369" s="54"/>
      <c r="U369" s="54">
        <f t="shared" si="39"/>
        <v>0</v>
      </c>
      <c r="V369" s="54">
        <f t="shared" si="40"/>
        <v>0</v>
      </c>
      <c r="W369" s="54">
        <f t="shared" si="41"/>
        <v>0</v>
      </c>
    </row>
    <row r="370" spans="1:23" ht="27.6" hidden="1" x14ac:dyDescent="0.25">
      <c r="A370" s="52" t="str">
        <f t="shared" si="38"/>
        <v xml:space="preserve">    - содержание мест общего пользования (ПЖРЭТ), взносы на кап.ремонт</v>
      </c>
      <c r="B370" s="52" t="str">
        <f t="shared" si="38"/>
        <v>244</v>
      </c>
      <c r="C370" s="52" t="str">
        <f t="shared" si="38"/>
        <v>225</v>
      </c>
      <c r="D370" s="53"/>
      <c r="E370" s="54"/>
      <c r="F370" s="54"/>
      <c r="G370" s="54"/>
      <c r="I370" s="56"/>
      <c r="R370" s="54"/>
      <c r="S370" s="54"/>
      <c r="T370" s="54"/>
      <c r="U370" s="54">
        <f t="shared" si="39"/>
        <v>0</v>
      </c>
      <c r="V370" s="54">
        <f t="shared" si="40"/>
        <v>0</v>
      </c>
      <c r="W370" s="54">
        <f t="shared" si="41"/>
        <v>0</v>
      </c>
    </row>
    <row r="371" spans="1:23" hidden="1" x14ac:dyDescent="0.25">
      <c r="A371" s="52" t="str">
        <f t="shared" ref="A371:C390" si="42">A101</f>
        <v xml:space="preserve">    - наружное освещение</v>
      </c>
      <c r="B371" s="52" t="str">
        <f t="shared" si="42"/>
        <v>244</v>
      </c>
      <c r="C371" s="52" t="str">
        <f t="shared" si="42"/>
        <v>225</v>
      </c>
      <c r="D371" s="53"/>
      <c r="E371" s="54"/>
      <c r="F371" s="54"/>
      <c r="G371" s="54"/>
      <c r="I371" s="56"/>
      <c r="R371" s="54"/>
      <c r="S371" s="54"/>
      <c r="T371" s="54"/>
      <c r="U371" s="54">
        <f t="shared" si="39"/>
        <v>0</v>
      </c>
      <c r="V371" s="54">
        <f t="shared" si="40"/>
        <v>0</v>
      </c>
      <c r="W371" s="54">
        <f t="shared" si="41"/>
        <v>0</v>
      </c>
    </row>
    <row r="372" spans="1:23" hidden="1" x14ac:dyDescent="0.25">
      <c r="A372" s="52" t="str">
        <f t="shared" si="42"/>
        <v xml:space="preserve">    - то приборов коммерческого учета</v>
      </c>
      <c r="B372" s="52" t="str">
        <f t="shared" si="42"/>
        <v>244</v>
      </c>
      <c r="C372" s="52" t="str">
        <f t="shared" si="42"/>
        <v>225</v>
      </c>
      <c r="D372" s="53"/>
      <c r="E372" s="54"/>
      <c r="F372" s="54"/>
      <c r="G372" s="54"/>
      <c r="I372" s="56"/>
      <c r="R372" s="54"/>
      <c r="S372" s="54"/>
      <c r="T372" s="54"/>
      <c r="U372" s="54">
        <f t="shared" si="39"/>
        <v>0</v>
      </c>
      <c r="V372" s="54">
        <f t="shared" si="40"/>
        <v>0</v>
      </c>
      <c r="W372" s="54">
        <f t="shared" si="41"/>
        <v>0</v>
      </c>
    </row>
    <row r="373" spans="1:23" hidden="1" x14ac:dyDescent="0.25">
      <c r="A373" s="52" t="str">
        <f t="shared" si="42"/>
        <v xml:space="preserve">    - дезинфекция</v>
      </c>
      <c r="B373" s="52" t="str">
        <f t="shared" si="42"/>
        <v>244</v>
      </c>
      <c r="C373" s="52" t="str">
        <f t="shared" si="42"/>
        <v>225</v>
      </c>
      <c r="D373" s="53"/>
      <c r="E373" s="54"/>
      <c r="F373" s="54"/>
      <c r="G373" s="54"/>
      <c r="I373" s="56"/>
      <c r="R373" s="54"/>
      <c r="S373" s="54"/>
      <c r="T373" s="54"/>
      <c r="U373" s="54">
        <f t="shared" si="39"/>
        <v>0</v>
      </c>
      <c r="V373" s="54">
        <f t="shared" si="40"/>
        <v>0</v>
      </c>
      <c r="W373" s="54">
        <f t="shared" si="41"/>
        <v>0</v>
      </c>
    </row>
    <row r="374" spans="1:23" hidden="1" x14ac:dyDescent="0.25">
      <c r="A374" s="52" t="str">
        <f t="shared" si="42"/>
        <v xml:space="preserve">    - то видеонаблюдения</v>
      </c>
      <c r="B374" s="52" t="str">
        <f t="shared" si="42"/>
        <v>244</v>
      </c>
      <c r="C374" s="52" t="str">
        <f t="shared" si="42"/>
        <v>225</v>
      </c>
      <c r="D374" s="53"/>
      <c r="E374" s="54"/>
      <c r="F374" s="54"/>
      <c r="G374" s="54"/>
      <c r="I374" s="56"/>
      <c r="R374" s="54"/>
      <c r="S374" s="54"/>
      <c r="T374" s="54"/>
      <c r="U374" s="54">
        <f t="shared" si="39"/>
        <v>0</v>
      </c>
      <c r="V374" s="54">
        <f t="shared" si="40"/>
        <v>0</v>
      </c>
      <c r="W374" s="54">
        <f t="shared" si="41"/>
        <v>0</v>
      </c>
    </row>
    <row r="375" spans="1:23" hidden="1" x14ac:dyDescent="0.25">
      <c r="A375" s="52" t="str">
        <f t="shared" si="42"/>
        <v xml:space="preserve">    - то пожарно-охранной сигнализации</v>
      </c>
      <c r="B375" s="52" t="str">
        <f t="shared" si="42"/>
        <v>244</v>
      </c>
      <c r="C375" s="52" t="str">
        <f t="shared" si="42"/>
        <v>225</v>
      </c>
      <c r="D375" s="53"/>
      <c r="E375" s="54"/>
      <c r="F375" s="54"/>
      <c r="G375" s="54"/>
      <c r="I375" s="56"/>
      <c r="R375" s="54"/>
      <c r="S375" s="54"/>
      <c r="T375" s="54"/>
      <c r="U375" s="54">
        <f t="shared" si="39"/>
        <v>0</v>
      </c>
      <c r="V375" s="54">
        <f t="shared" si="40"/>
        <v>0</v>
      </c>
      <c r="W375" s="54">
        <f t="shared" si="41"/>
        <v>0</v>
      </c>
    </row>
    <row r="376" spans="1:23" hidden="1" x14ac:dyDescent="0.25">
      <c r="A376" s="52" t="str">
        <f t="shared" si="42"/>
        <v xml:space="preserve">    - монтаж (регулировка) дверей/окон</v>
      </c>
      <c r="B376" s="52" t="str">
        <f t="shared" si="42"/>
        <v>244</v>
      </c>
      <c r="C376" s="52" t="str">
        <f t="shared" si="42"/>
        <v>225</v>
      </c>
      <c r="D376" s="53"/>
      <c r="E376" s="54"/>
      <c r="F376" s="54"/>
      <c r="G376" s="54"/>
      <c r="I376" s="56"/>
      <c r="R376" s="54"/>
      <c r="S376" s="54"/>
      <c r="T376" s="54"/>
      <c r="U376" s="54">
        <f t="shared" si="39"/>
        <v>0</v>
      </c>
      <c r="V376" s="54">
        <f t="shared" si="40"/>
        <v>0</v>
      </c>
      <c r="W376" s="54">
        <f t="shared" si="41"/>
        <v>0</v>
      </c>
    </row>
    <row r="377" spans="1:23" hidden="1" x14ac:dyDescent="0.25">
      <c r="A377" s="52" t="str">
        <f t="shared" si="42"/>
        <v xml:space="preserve">    - заправка картриджей</v>
      </c>
      <c r="B377" s="52" t="str">
        <f t="shared" si="42"/>
        <v>244</v>
      </c>
      <c r="C377" s="52" t="str">
        <f t="shared" si="42"/>
        <v>225</v>
      </c>
      <c r="D377" s="53"/>
      <c r="E377" s="54"/>
      <c r="F377" s="54"/>
      <c r="G377" s="54"/>
      <c r="I377" s="56"/>
      <c r="R377" s="54"/>
      <c r="S377" s="54"/>
      <c r="T377" s="54"/>
      <c r="U377" s="54">
        <f t="shared" si="39"/>
        <v>0</v>
      </c>
      <c r="V377" s="54">
        <f t="shared" si="40"/>
        <v>0</v>
      </c>
      <c r="W377" s="54">
        <f t="shared" si="41"/>
        <v>0</v>
      </c>
    </row>
    <row r="378" spans="1:23" ht="27.6" hidden="1" x14ac:dyDescent="0.25">
      <c r="A378" s="52" t="str">
        <f t="shared" si="42"/>
        <v xml:space="preserve">    - обслуживание кнопки тревожной сигнализации</v>
      </c>
      <c r="B378" s="52" t="str">
        <f t="shared" si="42"/>
        <v>244</v>
      </c>
      <c r="C378" s="52" t="str">
        <f t="shared" si="42"/>
        <v>225</v>
      </c>
      <c r="D378" s="53"/>
      <c r="E378" s="54"/>
      <c r="F378" s="54"/>
      <c r="G378" s="54"/>
      <c r="I378" s="56"/>
      <c r="R378" s="54"/>
      <c r="S378" s="54"/>
      <c r="T378" s="54"/>
      <c r="U378" s="54">
        <f t="shared" si="39"/>
        <v>0</v>
      </c>
      <c r="V378" s="54">
        <f t="shared" si="40"/>
        <v>0</v>
      </c>
      <c r="W378" s="54">
        <f t="shared" si="41"/>
        <v>0</v>
      </c>
    </row>
    <row r="379" spans="1:23" hidden="1" x14ac:dyDescent="0.25">
      <c r="A379" s="52" t="str">
        <f t="shared" si="42"/>
        <v xml:space="preserve">    - то компьютерного оборудования</v>
      </c>
      <c r="B379" s="52" t="str">
        <f t="shared" si="42"/>
        <v>244</v>
      </c>
      <c r="C379" s="52" t="str">
        <f t="shared" si="42"/>
        <v>225</v>
      </c>
      <c r="D379" s="53"/>
      <c r="E379" s="54"/>
      <c r="F379" s="54"/>
      <c r="G379" s="54"/>
      <c r="I379" s="56"/>
      <c r="R379" s="54"/>
      <c r="S379" s="54"/>
      <c r="T379" s="54"/>
      <c r="U379" s="54">
        <f t="shared" si="39"/>
        <v>0</v>
      </c>
      <c r="V379" s="54">
        <f t="shared" si="40"/>
        <v>0</v>
      </c>
      <c r="W379" s="54">
        <f t="shared" si="41"/>
        <v>0</v>
      </c>
    </row>
    <row r="380" spans="1:23" hidden="1" x14ac:dyDescent="0.25">
      <c r="A380" s="52" t="str">
        <f t="shared" si="42"/>
        <v xml:space="preserve">    - Химчистка</v>
      </c>
      <c r="B380" s="52" t="str">
        <f t="shared" si="42"/>
        <v>244</v>
      </c>
      <c r="C380" s="52" t="str">
        <f t="shared" si="42"/>
        <v>225</v>
      </c>
      <c r="D380" s="53"/>
      <c r="E380" s="54"/>
      <c r="F380" s="54"/>
      <c r="G380" s="54"/>
      <c r="I380" s="56"/>
      <c r="R380" s="54"/>
      <c r="S380" s="54"/>
      <c r="T380" s="54"/>
      <c r="U380" s="54">
        <f t="shared" si="39"/>
        <v>0</v>
      </c>
      <c r="V380" s="54">
        <f t="shared" si="40"/>
        <v>0</v>
      </c>
      <c r="W380" s="54">
        <f t="shared" si="41"/>
        <v>0</v>
      </c>
    </row>
    <row r="381" spans="1:23" hidden="1" x14ac:dyDescent="0.25">
      <c r="A381" s="52" t="str">
        <f t="shared" si="42"/>
        <v xml:space="preserve">    - поверка средств имерения</v>
      </c>
      <c r="B381" s="52" t="str">
        <f t="shared" si="42"/>
        <v>244</v>
      </c>
      <c r="C381" s="52" t="str">
        <f t="shared" si="42"/>
        <v>225</v>
      </c>
      <c r="D381" s="53"/>
      <c r="E381" s="54"/>
      <c r="F381" s="54"/>
      <c r="G381" s="54"/>
      <c r="I381" s="56"/>
      <c r="R381" s="54"/>
      <c r="S381" s="54"/>
      <c r="T381" s="54"/>
      <c r="U381" s="54">
        <f t="shared" si="39"/>
        <v>0</v>
      </c>
      <c r="V381" s="54">
        <f t="shared" si="40"/>
        <v>0</v>
      </c>
      <c r="W381" s="54">
        <f t="shared" si="41"/>
        <v>0</v>
      </c>
    </row>
    <row r="382" spans="1:23" hidden="1" x14ac:dyDescent="0.25">
      <c r="A382" s="52" t="str">
        <f t="shared" si="42"/>
        <v xml:space="preserve">    - вывоз ТКО</v>
      </c>
      <c r="B382" s="52" t="str">
        <f t="shared" si="42"/>
        <v>244</v>
      </c>
      <c r="C382" s="52" t="str">
        <f t="shared" si="42"/>
        <v>225</v>
      </c>
      <c r="D382" s="53"/>
      <c r="E382" s="54"/>
      <c r="F382" s="54"/>
      <c r="G382" s="54"/>
      <c r="I382" s="56"/>
      <c r="R382" s="54"/>
      <c r="S382" s="54"/>
      <c r="T382" s="54"/>
      <c r="U382" s="54">
        <f t="shared" si="39"/>
        <v>0</v>
      </c>
      <c r="V382" s="54">
        <f t="shared" si="40"/>
        <v>0</v>
      </c>
      <c r="W382" s="54">
        <f t="shared" si="41"/>
        <v>0</v>
      </c>
    </row>
    <row r="383" spans="1:23" hidden="1" x14ac:dyDescent="0.25">
      <c r="A383" s="52" t="str">
        <f t="shared" si="42"/>
        <v xml:space="preserve">    - текущий ремонт оборудования</v>
      </c>
      <c r="B383" s="52" t="str">
        <f t="shared" si="42"/>
        <v>244</v>
      </c>
      <c r="C383" s="52" t="str">
        <f t="shared" si="42"/>
        <v>225</v>
      </c>
      <c r="D383" s="53"/>
      <c r="E383" s="54"/>
      <c r="F383" s="54"/>
      <c r="G383" s="54"/>
      <c r="I383" s="56"/>
      <c r="R383" s="54"/>
      <c r="S383" s="54"/>
      <c r="T383" s="54"/>
      <c r="U383" s="54">
        <f t="shared" si="39"/>
        <v>0</v>
      </c>
      <c r="V383" s="54">
        <f t="shared" si="40"/>
        <v>0</v>
      </c>
      <c r="W383" s="54">
        <f t="shared" si="41"/>
        <v>0</v>
      </c>
    </row>
    <row r="384" spans="1:23" hidden="1" x14ac:dyDescent="0.25">
      <c r="A384" s="52" t="str">
        <f t="shared" si="42"/>
        <v xml:space="preserve">    - испытание диэлектрических средств защиты</v>
      </c>
      <c r="B384" s="52" t="str">
        <f t="shared" si="42"/>
        <v>244</v>
      </c>
      <c r="C384" s="52" t="str">
        <f t="shared" si="42"/>
        <v>225</v>
      </c>
      <c r="D384" s="53"/>
      <c r="E384" s="54"/>
      <c r="F384" s="54"/>
      <c r="G384" s="54"/>
      <c r="I384" s="56"/>
      <c r="R384" s="54"/>
      <c r="S384" s="54"/>
      <c r="T384" s="54"/>
      <c r="U384" s="54">
        <f t="shared" si="39"/>
        <v>0</v>
      </c>
      <c r="V384" s="54">
        <f t="shared" si="40"/>
        <v>0</v>
      </c>
      <c r="W384" s="54">
        <f t="shared" si="41"/>
        <v>0</v>
      </c>
    </row>
    <row r="385" spans="1:23" hidden="1" x14ac:dyDescent="0.25">
      <c r="A385" s="52" t="str">
        <f t="shared" si="42"/>
        <v xml:space="preserve">    - гидравлические испытания пожарных рукавов</v>
      </c>
      <c r="B385" s="52" t="str">
        <f t="shared" si="42"/>
        <v>244</v>
      </c>
      <c r="C385" s="52" t="str">
        <f t="shared" si="42"/>
        <v>225</v>
      </c>
      <c r="D385" s="53"/>
      <c r="E385" s="54"/>
      <c r="F385" s="54"/>
      <c r="G385" s="54"/>
      <c r="I385" s="56"/>
      <c r="R385" s="54"/>
      <c r="S385" s="54"/>
      <c r="T385" s="54"/>
      <c r="U385" s="54">
        <f t="shared" si="39"/>
        <v>0</v>
      </c>
      <c r="V385" s="54">
        <f t="shared" si="40"/>
        <v>0</v>
      </c>
      <c r="W385" s="54">
        <f t="shared" si="41"/>
        <v>0</v>
      </c>
    </row>
    <row r="386" spans="1:23" hidden="1" x14ac:dyDescent="0.25">
      <c r="A386" s="52" t="str">
        <f t="shared" si="42"/>
        <v xml:space="preserve">    - монтаж уличного освещения</v>
      </c>
      <c r="B386" s="52" t="str">
        <f t="shared" si="42"/>
        <v>244</v>
      </c>
      <c r="C386" s="52" t="str">
        <f t="shared" si="42"/>
        <v>225</v>
      </c>
      <c r="D386" s="53"/>
      <c r="E386" s="54"/>
      <c r="F386" s="54"/>
      <c r="G386" s="54"/>
      <c r="I386" s="56"/>
      <c r="R386" s="54"/>
      <c r="S386" s="54"/>
      <c r="T386" s="54"/>
      <c r="U386" s="54">
        <f t="shared" si="39"/>
        <v>0</v>
      </c>
      <c r="V386" s="54">
        <f t="shared" si="40"/>
        <v>0</v>
      </c>
      <c r="W386" s="54">
        <f t="shared" si="41"/>
        <v>0</v>
      </c>
    </row>
    <row r="387" spans="1:23" hidden="1" x14ac:dyDescent="0.25">
      <c r="A387" s="52" t="str">
        <f t="shared" si="42"/>
        <v xml:space="preserve">    - противоклещевая обработка</v>
      </c>
      <c r="B387" s="52" t="str">
        <f t="shared" si="42"/>
        <v>244</v>
      </c>
      <c r="C387" s="52" t="str">
        <f t="shared" si="42"/>
        <v>225</v>
      </c>
      <c r="D387" s="53"/>
      <c r="E387" s="54"/>
      <c r="F387" s="54"/>
      <c r="G387" s="54"/>
      <c r="I387" s="56"/>
      <c r="R387" s="54"/>
      <c r="S387" s="54"/>
      <c r="T387" s="54"/>
      <c r="U387" s="54">
        <f t="shared" si="39"/>
        <v>0</v>
      </c>
      <c r="V387" s="54">
        <f t="shared" si="40"/>
        <v>0</v>
      </c>
      <c r="W387" s="54">
        <f t="shared" si="41"/>
        <v>0</v>
      </c>
    </row>
    <row r="388" spans="1:23" hidden="1" x14ac:dyDescent="0.25">
      <c r="A388" s="52" t="str">
        <f t="shared" si="42"/>
        <v xml:space="preserve">    - сервисное обслуживание приборов тепла</v>
      </c>
      <c r="B388" s="52" t="str">
        <f t="shared" si="42"/>
        <v>244</v>
      </c>
      <c r="C388" s="52" t="str">
        <f t="shared" si="42"/>
        <v>225</v>
      </c>
      <c r="D388" s="53"/>
      <c r="E388" s="54"/>
      <c r="F388" s="54"/>
      <c r="G388" s="54"/>
      <c r="I388" s="56"/>
      <c r="R388" s="54"/>
      <c r="S388" s="54"/>
      <c r="T388" s="54"/>
      <c r="U388" s="54">
        <f t="shared" ref="U388:U412" si="43">E388-R388</f>
        <v>0</v>
      </c>
      <c r="V388" s="54">
        <f t="shared" ref="V388:V412" si="44">F388-S388</f>
        <v>0</v>
      </c>
      <c r="W388" s="54">
        <f t="shared" ref="W388:W412" si="45">G388-T388</f>
        <v>0</v>
      </c>
    </row>
    <row r="389" spans="1:23" s="45" customFormat="1" hidden="1" x14ac:dyDescent="0.25">
      <c r="A389" s="52" t="str">
        <f t="shared" si="42"/>
        <v xml:space="preserve"> - прочие работы, услуги, всего:</v>
      </c>
      <c r="B389" s="52" t="str">
        <f t="shared" si="42"/>
        <v>244</v>
      </c>
      <c r="C389" s="52" t="str">
        <f t="shared" si="42"/>
        <v>226</v>
      </c>
      <c r="D389" s="104"/>
      <c r="E389" s="62">
        <f>SUM(E390:E405)</f>
        <v>0</v>
      </c>
      <c r="F389" s="62">
        <f>SUM(F390:F405)</f>
        <v>0</v>
      </c>
      <c r="G389" s="62">
        <f>SUM(G390:G405)</f>
        <v>0</v>
      </c>
      <c r="H389" s="63"/>
      <c r="I389" s="63"/>
      <c r="R389" s="62"/>
      <c r="S389" s="62"/>
      <c r="T389" s="62"/>
      <c r="U389" s="62">
        <f t="shared" si="43"/>
        <v>0</v>
      </c>
      <c r="V389" s="62">
        <f t="shared" si="44"/>
        <v>0</v>
      </c>
      <c r="W389" s="62">
        <f t="shared" si="45"/>
        <v>0</v>
      </c>
    </row>
    <row r="390" spans="1:23" s="58" customFormat="1" hidden="1" x14ac:dyDescent="0.25">
      <c r="A390" s="52" t="str">
        <f t="shared" si="42"/>
        <v xml:space="preserve">    - специальная оценка условий труда</v>
      </c>
      <c r="B390" s="52" t="str">
        <f t="shared" si="42"/>
        <v>244</v>
      </c>
      <c r="C390" s="52" t="str">
        <f t="shared" si="42"/>
        <v>226</v>
      </c>
      <c r="D390" s="53"/>
      <c r="E390" s="54">
        <f>'Приложение 4,5,6 расходы'!V431</f>
        <v>0</v>
      </c>
      <c r="F390" s="54"/>
      <c r="G390" s="54"/>
      <c r="H390" s="49"/>
      <c r="I390" s="56"/>
      <c r="R390" s="54"/>
      <c r="S390" s="54"/>
      <c r="T390" s="54"/>
      <c r="U390" s="54">
        <f t="shared" si="43"/>
        <v>0</v>
      </c>
      <c r="V390" s="54">
        <f t="shared" si="44"/>
        <v>0</v>
      </c>
      <c r="W390" s="54">
        <f t="shared" si="45"/>
        <v>0</v>
      </c>
    </row>
    <row r="391" spans="1:23" s="58" customFormat="1" ht="27.6" hidden="1" x14ac:dyDescent="0.25">
      <c r="A391" s="52" t="str">
        <f t="shared" ref="A391:C410" si="46">A121</f>
        <v xml:space="preserve">    - услуги автотранспорта (доставка строительных материалов, вывоз веток и пр.)</v>
      </c>
      <c r="B391" s="52" t="str">
        <f t="shared" si="46"/>
        <v>244</v>
      </c>
      <c r="C391" s="52" t="str">
        <f t="shared" si="46"/>
        <v>226</v>
      </c>
      <c r="D391" s="53"/>
      <c r="E391" s="54"/>
      <c r="F391" s="54"/>
      <c r="G391" s="54"/>
      <c r="H391" s="49"/>
      <c r="I391" s="56"/>
      <c r="R391" s="54"/>
      <c r="S391" s="54"/>
      <c r="T391" s="54"/>
      <c r="U391" s="54">
        <f t="shared" si="43"/>
        <v>0</v>
      </c>
      <c r="V391" s="54">
        <f t="shared" si="44"/>
        <v>0</v>
      </c>
      <c r="W391" s="54">
        <f t="shared" si="45"/>
        <v>0</v>
      </c>
    </row>
    <row r="392" spans="1:23" s="58" customFormat="1" hidden="1" x14ac:dyDescent="0.25">
      <c r="A392" s="52" t="str">
        <f t="shared" si="46"/>
        <v xml:space="preserve">    - ПО (СБИС)</v>
      </c>
      <c r="B392" s="52" t="str">
        <f t="shared" si="46"/>
        <v>244</v>
      </c>
      <c r="C392" s="52" t="str">
        <f t="shared" si="46"/>
        <v>226</v>
      </c>
      <c r="D392" s="53"/>
      <c r="E392" s="54"/>
      <c r="F392" s="54"/>
      <c r="G392" s="54"/>
      <c r="H392" s="49"/>
      <c r="I392" s="56"/>
      <c r="R392" s="54"/>
      <c r="S392" s="54"/>
      <c r="T392" s="54"/>
      <c r="U392" s="54">
        <f t="shared" si="43"/>
        <v>0</v>
      </c>
      <c r="V392" s="54">
        <f t="shared" si="44"/>
        <v>0</v>
      </c>
      <c r="W392" s="54">
        <f t="shared" si="45"/>
        <v>0</v>
      </c>
    </row>
    <row r="393" spans="1:23" s="58" customFormat="1" hidden="1" x14ac:dyDescent="0.25">
      <c r="A393" s="52" t="str">
        <f t="shared" si="46"/>
        <v xml:space="preserve">    - организация питания</v>
      </c>
      <c r="B393" s="52" t="str">
        <f t="shared" si="46"/>
        <v>244</v>
      </c>
      <c r="C393" s="52" t="str">
        <f t="shared" si="46"/>
        <v>226</v>
      </c>
      <c r="D393" s="53"/>
      <c r="E393" s="54"/>
      <c r="F393" s="54"/>
      <c r="G393" s="54"/>
      <c r="H393" s="49"/>
      <c r="I393" s="56"/>
      <c r="R393" s="54"/>
      <c r="S393" s="54"/>
      <c r="T393" s="54"/>
      <c r="U393" s="54">
        <f t="shared" si="43"/>
        <v>0</v>
      </c>
      <c r="V393" s="54">
        <f t="shared" si="44"/>
        <v>0</v>
      </c>
      <c r="W393" s="54">
        <f t="shared" si="45"/>
        <v>0</v>
      </c>
    </row>
    <row r="394" spans="1:23" s="58" customFormat="1" ht="27.6" hidden="1" x14ac:dyDescent="0.25">
      <c r="A394" s="52" t="str">
        <f t="shared" si="46"/>
        <v xml:space="preserve">    - расчет проектно-сметной документации (ремонт крыльца, речевое оповещение)</v>
      </c>
      <c r="B394" s="52" t="str">
        <f t="shared" si="46"/>
        <v>244</v>
      </c>
      <c r="C394" s="52" t="str">
        <f t="shared" si="46"/>
        <v>226</v>
      </c>
      <c r="D394" s="53"/>
      <c r="E394" s="54"/>
      <c r="F394" s="54"/>
      <c r="G394" s="54"/>
      <c r="H394" s="49"/>
      <c r="I394" s="56"/>
      <c r="R394" s="54"/>
      <c r="S394" s="54"/>
      <c r="T394" s="54"/>
      <c r="U394" s="54">
        <f t="shared" si="43"/>
        <v>0</v>
      </c>
      <c r="V394" s="54">
        <f t="shared" si="44"/>
        <v>0</v>
      </c>
      <c r="W394" s="54">
        <f t="shared" si="45"/>
        <v>0</v>
      </c>
    </row>
    <row r="395" spans="1:23" s="58" customFormat="1" hidden="1" x14ac:dyDescent="0.25">
      <c r="A395" s="52" t="str">
        <f t="shared" si="46"/>
        <v xml:space="preserve">    - оплата услуг бухгалтерии</v>
      </c>
      <c r="B395" s="52" t="str">
        <f t="shared" si="46"/>
        <v>244</v>
      </c>
      <c r="C395" s="52" t="str">
        <f t="shared" si="46"/>
        <v>226</v>
      </c>
      <c r="D395" s="53"/>
      <c r="E395" s="54"/>
      <c r="F395" s="54"/>
      <c r="G395" s="54"/>
      <c r="H395" s="49"/>
      <c r="I395" s="56"/>
      <c r="R395" s="54"/>
      <c r="S395" s="54"/>
      <c r="T395" s="54"/>
      <c r="U395" s="54">
        <f t="shared" si="43"/>
        <v>0</v>
      </c>
      <c r="V395" s="54">
        <f t="shared" si="44"/>
        <v>0</v>
      </c>
      <c r="W395" s="54">
        <f t="shared" si="45"/>
        <v>0</v>
      </c>
    </row>
    <row r="396" spans="1:23" s="58" customFormat="1" hidden="1" x14ac:dyDescent="0.25">
      <c r="A396" s="52" t="str">
        <f t="shared" si="46"/>
        <v xml:space="preserve">    - услуги банка</v>
      </c>
      <c r="B396" s="52" t="str">
        <f t="shared" si="46"/>
        <v>244</v>
      </c>
      <c r="C396" s="52" t="str">
        <f t="shared" si="46"/>
        <v>226</v>
      </c>
      <c r="D396" s="53"/>
      <c r="E396" s="54"/>
      <c r="F396" s="54"/>
      <c r="G396" s="54"/>
      <c r="H396" s="49"/>
      <c r="I396" s="56"/>
      <c r="R396" s="54"/>
      <c r="S396" s="54"/>
      <c r="T396" s="54"/>
      <c r="U396" s="54">
        <f t="shared" si="43"/>
        <v>0</v>
      </c>
      <c r="V396" s="54">
        <f t="shared" si="44"/>
        <v>0</v>
      </c>
      <c r="W396" s="54">
        <f t="shared" si="45"/>
        <v>0</v>
      </c>
    </row>
    <row r="397" spans="1:23" s="58" customFormat="1" hidden="1" x14ac:dyDescent="0.25">
      <c r="A397" s="52" t="str">
        <f t="shared" si="46"/>
        <v xml:space="preserve">    - обслуживание компьютерных программ</v>
      </c>
      <c r="B397" s="52" t="str">
        <f t="shared" si="46"/>
        <v>244</v>
      </c>
      <c r="C397" s="52" t="str">
        <f t="shared" si="46"/>
        <v>226</v>
      </c>
      <c r="D397" s="53"/>
      <c r="E397" s="54"/>
      <c r="F397" s="54"/>
      <c r="G397" s="54"/>
      <c r="H397" s="49"/>
      <c r="I397" s="56"/>
      <c r="R397" s="54"/>
      <c r="S397" s="54"/>
      <c r="T397" s="54"/>
      <c r="U397" s="54">
        <f t="shared" si="43"/>
        <v>0</v>
      </c>
      <c r="V397" s="54">
        <f t="shared" si="44"/>
        <v>0</v>
      </c>
      <c r="W397" s="54">
        <f t="shared" si="45"/>
        <v>0</v>
      </c>
    </row>
    <row r="398" spans="1:23" hidden="1" x14ac:dyDescent="0.25">
      <c r="A398" s="52" t="str">
        <f t="shared" si="46"/>
        <v xml:space="preserve">    - установка сигнализации</v>
      </c>
      <c r="B398" s="52" t="str">
        <f t="shared" si="46"/>
        <v>244</v>
      </c>
      <c r="C398" s="52" t="str">
        <f t="shared" si="46"/>
        <v>226</v>
      </c>
      <c r="D398" s="53"/>
      <c r="E398" s="54"/>
      <c r="F398" s="54"/>
      <c r="G398" s="54"/>
      <c r="I398" s="56"/>
      <c r="R398" s="54"/>
      <c r="S398" s="54"/>
      <c r="T398" s="54"/>
      <c r="U398" s="54">
        <f t="shared" si="43"/>
        <v>0</v>
      </c>
      <c r="V398" s="54">
        <f t="shared" si="44"/>
        <v>0</v>
      </c>
      <c r="W398" s="54">
        <f t="shared" si="45"/>
        <v>0</v>
      </c>
    </row>
    <row r="399" spans="1:23" hidden="1" x14ac:dyDescent="0.25">
      <c r="A399" s="52" t="str">
        <f t="shared" si="46"/>
        <v xml:space="preserve">    - оказание консалтинговых услуг</v>
      </c>
      <c r="B399" s="52" t="str">
        <f t="shared" si="46"/>
        <v>244</v>
      </c>
      <c r="C399" s="52" t="str">
        <f t="shared" si="46"/>
        <v>226</v>
      </c>
      <c r="D399" s="53"/>
      <c r="E399" s="54"/>
      <c r="F399" s="54"/>
      <c r="G399" s="54"/>
      <c r="I399" s="56"/>
      <c r="R399" s="54"/>
      <c r="S399" s="54"/>
      <c r="T399" s="54"/>
      <c r="U399" s="54">
        <f t="shared" si="43"/>
        <v>0</v>
      </c>
      <c r="V399" s="54">
        <f t="shared" si="44"/>
        <v>0</v>
      </c>
      <c r="W399" s="54">
        <f t="shared" si="45"/>
        <v>0</v>
      </c>
    </row>
    <row r="400" spans="1:23" ht="27.6" hidden="1" x14ac:dyDescent="0.25">
      <c r="A400" s="52" t="str">
        <f t="shared" si="46"/>
        <v xml:space="preserve">    - монтаж решетчатой металлической двери в тепловом узле</v>
      </c>
      <c r="B400" s="52" t="str">
        <f t="shared" si="46"/>
        <v>244</v>
      </c>
      <c r="C400" s="52" t="str">
        <f t="shared" si="46"/>
        <v>226</v>
      </c>
      <c r="D400" s="53"/>
      <c r="E400" s="54"/>
      <c r="F400" s="54"/>
      <c r="G400" s="54"/>
      <c r="I400" s="56"/>
      <c r="R400" s="54"/>
      <c r="S400" s="54"/>
      <c r="T400" s="54"/>
      <c r="U400" s="54">
        <f t="shared" si="43"/>
        <v>0</v>
      </c>
      <c r="V400" s="54">
        <f t="shared" si="44"/>
        <v>0</v>
      </c>
      <c r="W400" s="54">
        <f t="shared" si="45"/>
        <v>0</v>
      </c>
    </row>
    <row r="401" spans="1:23" hidden="1" x14ac:dyDescent="0.25">
      <c r="A401" s="52" t="str">
        <f t="shared" si="46"/>
        <v xml:space="preserve">    - мониторинг охранно-пожарной сигнализации</v>
      </c>
      <c r="B401" s="52" t="str">
        <f t="shared" si="46"/>
        <v>244</v>
      </c>
      <c r="C401" s="52" t="str">
        <f t="shared" si="46"/>
        <v>226</v>
      </c>
      <c r="D401" s="53"/>
      <c r="E401" s="54"/>
      <c r="F401" s="54"/>
      <c r="G401" s="54"/>
      <c r="I401" s="56"/>
      <c r="R401" s="54"/>
      <c r="S401" s="54"/>
      <c r="T401" s="54"/>
      <c r="U401" s="54">
        <f t="shared" si="43"/>
        <v>0</v>
      </c>
      <c r="V401" s="54">
        <f t="shared" si="44"/>
        <v>0</v>
      </c>
      <c r="W401" s="54">
        <f t="shared" si="45"/>
        <v>0</v>
      </c>
    </row>
    <row r="402" spans="1:23" hidden="1" x14ac:dyDescent="0.25">
      <c r="A402" s="52" t="str">
        <f t="shared" si="46"/>
        <v xml:space="preserve">    - переплет документов</v>
      </c>
      <c r="B402" s="52" t="str">
        <f t="shared" si="46"/>
        <v>244</v>
      </c>
      <c r="C402" s="52" t="str">
        <f t="shared" si="46"/>
        <v>226</v>
      </c>
      <c r="D402" s="53"/>
      <c r="E402" s="54"/>
      <c r="F402" s="54"/>
      <c r="G402" s="54"/>
      <c r="I402" s="56"/>
      <c r="R402" s="54"/>
      <c r="S402" s="54"/>
      <c r="T402" s="54"/>
      <c r="U402" s="54">
        <f t="shared" si="43"/>
        <v>0</v>
      </c>
      <c r="V402" s="54">
        <f t="shared" si="44"/>
        <v>0</v>
      </c>
      <c r="W402" s="54">
        <f t="shared" si="45"/>
        <v>0</v>
      </c>
    </row>
    <row r="403" spans="1:23" hidden="1" x14ac:dyDescent="0.25">
      <c r="A403" s="52" t="str">
        <f t="shared" si="46"/>
        <v xml:space="preserve">    - вневедомственная охрана</v>
      </c>
      <c r="B403" s="52" t="str">
        <f t="shared" si="46"/>
        <v>244</v>
      </c>
      <c r="C403" s="52" t="str">
        <f t="shared" si="46"/>
        <v>226</v>
      </c>
      <c r="D403" s="53"/>
      <c r="E403" s="54"/>
      <c r="F403" s="54"/>
      <c r="G403" s="54"/>
      <c r="I403" s="56"/>
      <c r="R403" s="54"/>
      <c r="S403" s="54"/>
      <c r="T403" s="54"/>
      <c r="U403" s="54">
        <f t="shared" si="43"/>
        <v>0</v>
      </c>
      <c r="V403" s="54">
        <f t="shared" si="44"/>
        <v>0</v>
      </c>
      <c r="W403" s="54">
        <f t="shared" si="45"/>
        <v>0</v>
      </c>
    </row>
    <row r="404" spans="1:23" hidden="1" x14ac:dyDescent="0.25">
      <c r="A404" s="52" t="str">
        <f t="shared" si="46"/>
        <v xml:space="preserve">    - лицензированная охрана</v>
      </c>
      <c r="B404" s="52" t="str">
        <f t="shared" si="46"/>
        <v>244</v>
      </c>
      <c r="C404" s="52" t="str">
        <f t="shared" si="46"/>
        <v>226</v>
      </c>
      <c r="D404" s="53"/>
      <c r="E404" s="54"/>
      <c r="F404" s="54"/>
      <c r="G404" s="54"/>
      <c r="I404" s="56"/>
      <c r="R404" s="54"/>
      <c r="S404" s="54"/>
      <c r="T404" s="54"/>
      <c r="U404" s="54">
        <f t="shared" si="43"/>
        <v>0</v>
      </c>
      <c r="V404" s="54">
        <f t="shared" si="44"/>
        <v>0</v>
      </c>
      <c r="W404" s="54">
        <f t="shared" si="45"/>
        <v>0</v>
      </c>
    </row>
    <row r="405" spans="1:23" hidden="1" x14ac:dyDescent="0.25">
      <c r="A405" s="52" t="str">
        <f t="shared" si="46"/>
        <v xml:space="preserve">    - курсы повышения квалификации</v>
      </c>
      <c r="B405" s="52" t="str">
        <f t="shared" si="46"/>
        <v>244</v>
      </c>
      <c r="C405" s="52" t="str">
        <f t="shared" si="46"/>
        <v>226</v>
      </c>
      <c r="D405" s="53"/>
      <c r="E405" s="54"/>
      <c r="F405" s="54"/>
      <c r="G405" s="54"/>
      <c r="I405" s="56"/>
      <c r="R405" s="54"/>
      <c r="S405" s="54"/>
      <c r="T405" s="54"/>
      <c r="U405" s="54">
        <f t="shared" si="43"/>
        <v>0</v>
      </c>
      <c r="V405" s="54">
        <f t="shared" si="44"/>
        <v>0</v>
      </c>
      <c r="W405" s="54">
        <f t="shared" si="45"/>
        <v>0</v>
      </c>
    </row>
    <row r="406" spans="1:23" hidden="1" x14ac:dyDescent="0.25">
      <c r="A406" s="52" t="str">
        <f t="shared" si="46"/>
        <v xml:space="preserve">    - монтаж охранно-пожарной сигнализации</v>
      </c>
      <c r="B406" s="52" t="str">
        <f t="shared" si="46"/>
        <v>244</v>
      </c>
      <c r="C406" s="52" t="str">
        <f t="shared" si="46"/>
        <v>228</v>
      </c>
      <c r="D406" s="53"/>
      <c r="E406" s="54"/>
      <c r="F406" s="54"/>
      <c r="G406" s="54"/>
      <c r="I406" s="56"/>
      <c r="R406" s="54"/>
      <c r="S406" s="54"/>
      <c r="T406" s="54"/>
      <c r="U406" s="54">
        <f t="shared" si="43"/>
        <v>0</v>
      </c>
      <c r="V406" s="54">
        <f t="shared" si="44"/>
        <v>0</v>
      </c>
      <c r="W406" s="54">
        <f t="shared" si="45"/>
        <v>0</v>
      </c>
    </row>
    <row r="407" spans="1:23" ht="27.6" hidden="1" x14ac:dyDescent="0.25">
      <c r="A407" s="52" t="str">
        <f t="shared" si="46"/>
        <v xml:space="preserve"> - выплаты ув.сотрудникам и их родственникам (3 дн.б/л, МП)</v>
      </c>
      <c r="B407" s="52" t="str">
        <f t="shared" si="46"/>
        <v>321</v>
      </c>
      <c r="C407" s="52" t="str">
        <f t="shared" si="46"/>
        <v>264</v>
      </c>
      <c r="D407" s="60" t="s">
        <v>37</v>
      </c>
      <c r="E407" s="54"/>
      <c r="F407" s="54"/>
      <c r="G407" s="54"/>
      <c r="I407" s="56"/>
      <c r="R407" s="54"/>
      <c r="S407" s="54"/>
      <c r="T407" s="54"/>
      <c r="U407" s="54">
        <f t="shared" si="43"/>
        <v>0</v>
      </c>
      <c r="V407" s="54">
        <f t="shared" si="44"/>
        <v>0</v>
      </c>
      <c r="W407" s="54">
        <f t="shared" si="45"/>
        <v>0</v>
      </c>
    </row>
    <row r="408" spans="1:23" hidden="1" x14ac:dyDescent="0.25">
      <c r="A408" s="52" t="str">
        <f t="shared" si="46"/>
        <v xml:space="preserve"> - выплата МП неработающим пенсионерам</v>
      </c>
      <c r="B408" s="52" t="str">
        <f t="shared" si="46"/>
        <v>321</v>
      </c>
      <c r="C408" s="52" t="str">
        <f t="shared" si="46"/>
        <v>296</v>
      </c>
      <c r="D408" s="60" t="s">
        <v>37</v>
      </c>
      <c r="E408" s="54"/>
      <c r="F408" s="54"/>
      <c r="G408" s="54"/>
      <c r="I408" s="56"/>
      <c r="R408" s="54"/>
      <c r="S408" s="54"/>
      <c r="T408" s="54"/>
      <c r="U408" s="54">
        <f t="shared" si="43"/>
        <v>0</v>
      </c>
      <c r="V408" s="54">
        <f t="shared" si="44"/>
        <v>0</v>
      </c>
      <c r="W408" s="54">
        <f t="shared" si="45"/>
        <v>0</v>
      </c>
    </row>
    <row r="409" spans="1:23" s="58" customFormat="1" hidden="1" x14ac:dyDescent="0.25">
      <c r="A409" s="52" t="str">
        <f t="shared" si="46"/>
        <v xml:space="preserve"> - прочие налоги и сборы</v>
      </c>
      <c r="B409" s="52" t="str">
        <f t="shared" si="46"/>
        <v>852</v>
      </c>
      <c r="C409" s="52" t="str">
        <f t="shared" si="46"/>
        <v>291</v>
      </c>
      <c r="D409" s="53" t="s">
        <v>37</v>
      </c>
      <c r="E409" s="54"/>
      <c r="F409" s="54"/>
      <c r="G409" s="54"/>
      <c r="H409" s="57"/>
      <c r="I409" s="57"/>
      <c r="R409" s="54"/>
      <c r="S409" s="54"/>
      <c r="T409" s="54"/>
      <c r="U409" s="54">
        <f t="shared" si="43"/>
        <v>0</v>
      </c>
      <c r="V409" s="54">
        <f t="shared" si="44"/>
        <v>0</v>
      </c>
      <c r="W409" s="54">
        <f t="shared" si="45"/>
        <v>0</v>
      </c>
    </row>
    <row r="410" spans="1:23" s="58" customFormat="1" ht="41.4" hidden="1" x14ac:dyDescent="0.25">
      <c r="A410" s="52" t="str">
        <f t="shared" si="46"/>
        <v xml:space="preserve"> - пеня</v>
      </c>
      <c r="B410" s="52" t="str">
        <f t="shared" si="46"/>
        <v>853</v>
      </c>
      <c r="C410" s="52" t="str">
        <f t="shared" si="46"/>
        <v>292,
295,
293</v>
      </c>
      <c r="D410" s="53" t="s">
        <v>37</v>
      </c>
      <c r="E410" s="54"/>
      <c r="F410" s="54"/>
      <c r="G410" s="54"/>
      <c r="I410" s="57"/>
      <c r="R410" s="54"/>
      <c r="S410" s="54"/>
      <c r="T410" s="54"/>
      <c r="U410" s="54">
        <f t="shared" si="43"/>
        <v>0</v>
      </c>
      <c r="V410" s="54">
        <f t="shared" si="44"/>
        <v>0</v>
      </c>
      <c r="W410" s="54">
        <f t="shared" si="45"/>
        <v>0</v>
      </c>
    </row>
    <row r="411" spans="1:23" hidden="1" x14ac:dyDescent="0.25">
      <c r="A411" s="52" t="str">
        <f t="shared" ref="A411:C430" si="47">A141</f>
        <v xml:space="preserve"> - налог на имущество</v>
      </c>
      <c r="B411" s="52" t="str">
        <f t="shared" si="47"/>
        <v>851</v>
      </c>
      <c r="C411" s="52" t="str">
        <f t="shared" si="47"/>
        <v>291</v>
      </c>
      <c r="D411" s="53" t="s">
        <v>37</v>
      </c>
      <c r="E411" s="54"/>
      <c r="F411" s="54"/>
      <c r="G411" s="54"/>
      <c r="H411" s="56"/>
      <c r="I411" s="56"/>
      <c r="R411" s="54"/>
      <c r="S411" s="54"/>
      <c r="T411" s="54"/>
      <c r="U411" s="54">
        <f t="shared" si="43"/>
        <v>0</v>
      </c>
      <c r="V411" s="54">
        <f t="shared" si="44"/>
        <v>0</v>
      </c>
      <c r="W411" s="54">
        <f t="shared" si="45"/>
        <v>0</v>
      </c>
    </row>
    <row r="412" spans="1:23" ht="27.6" hidden="1" x14ac:dyDescent="0.25">
      <c r="A412" s="52" t="str">
        <f t="shared" si="47"/>
        <v xml:space="preserve"> - компенсация расходов (морального вреда) по решению суда</v>
      </c>
      <c r="B412" s="52" t="str">
        <f t="shared" si="47"/>
        <v>831</v>
      </c>
      <c r="C412" s="52" t="str">
        <f t="shared" si="47"/>
        <v>296</v>
      </c>
      <c r="D412" s="53" t="s">
        <v>37</v>
      </c>
      <c r="E412" s="54"/>
      <c r="F412" s="54"/>
      <c r="G412" s="54"/>
      <c r="H412" s="56"/>
      <c r="I412" s="56"/>
      <c r="R412" s="54"/>
      <c r="S412" s="54"/>
      <c r="T412" s="54"/>
      <c r="U412" s="54">
        <f t="shared" si="43"/>
        <v>0</v>
      </c>
      <c r="V412" s="54">
        <f t="shared" si="44"/>
        <v>0</v>
      </c>
      <c r="W412" s="54">
        <f t="shared" si="45"/>
        <v>0</v>
      </c>
    </row>
    <row r="413" spans="1:23" ht="27.6" hidden="1" x14ac:dyDescent="0.25">
      <c r="A413" s="52" t="str">
        <f t="shared" si="47"/>
        <v xml:space="preserve"> - разработка проектно-сметной документации на капитальный ремонт крыши</v>
      </c>
      <c r="B413" s="52" t="str">
        <f t="shared" si="47"/>
        <v>243</v>
      </c>
      <c r="C413" s="52" t="str">
        <f t="shared" si="47"/>
        <v>226</v>
      </c>
      <c r="D413" s="53"/>
      <c r="E413" s="54"/>
      <c r="F413" s="54"/>
      <c r="G413" s="54"/>
      <c r="H413" s="56"/>
      <c r="I413" s="56"/>
      <c r="R413" s="54"/>
      <c r="S413" s="54"/>
      <c r="T413" s="54"/>
      <c r="U413" s="54"/>
      <c r="V413" s="54"/>
      <c r="W413" s="54"/>
    </row>
    <row r="414" spans="1:23" s="118" customFormat="1" hidden="1" x14ac:dyDescent="0.25">
      <c r="A414" s="115" t="str">
        <f t="shared" si="47"/>
        <v xml:space="preserve"> - увеличение стоимости основных средств</v>
      </c>
      <c r="B414" s="115" t="str">
        <f t="shared" si="47"/>
        <v>244</v>
      </c>
      <c r="C414" s="115" t="str">
        <f t="shared" si="47"/>
        <v>310</v>
      </c>
      <c r="D414" s="60"/>
      <c r="E414" s="61">
        <f>SUM(E415:E423)</f>
        <v>0</v>
      </c>
      <c r="F414" s="61">
        <f>SUM(F415:F423)</f>
        <v>0</v>
      </c>
      <c r="G414" s="61">
        <f>SUM(G415:G423)</f>
        <v>0</v>
      </c>
      <c r="H414" s="117"/>
      <c r="I414" s="117"/>
      <c r="R414" s="61"/>
      <c r="S414" s="61"/>
      <c r="T414" s="61"/>
      <c r="U414" s="61">
        <f t="shared" ref="U414:U445" si="48">E414-R414</f>
        <v>0</v>
      </c>
      <c r="V414" s="61">
        <f t="shared" ref="V414:V445" si="49">F414-S414</f>
        <v>0</v>
      </c>
      <c r="W414" s="61">
        <f t="shared" ref="W414:W445" si="50">G414-T414</f>
        <v>0</v>
      </c>
    </row>
    <row r="415" spans="1:23" s="118" customFormat="1" hidden="1" x14ac:dyDescent="0.25">
      <c r="A415" s="64" t="str">
        <f t="shared" si="47"/>
        <v xml:space="preserve"> - компьютерная техника</v>
      </c>
      <c r="B415" s="64" t="str">
        <f t="shared" si="47"/>
        <v>244</v>
      </c>
      <c r="C415" s="64" t="str">
        <f t="shared" si="47"/>
        <v>310</v>
      </c>
      <c r="D415" s="119"/>
      <c r="E415" s="120"/>
      <c r="F415" s="120"/>
      <c r="G415" s="120"/>
      <c r="H415" s="117"/>
      <c r="I415" s="117"/>
      <c r="R415" s="120"/>
      <c r="S415" s="120"/>
      <c r="T415" s="120"/>
      <c r="U415" s="120">
        <f t="shared" si="48"/>
        <v>0</v>
      </c>
      <c r="V415" s="120">
        <f t="shared" si="49"/>
        <v>0</v>
      </c>
      <c r="W415" s="120">
        <f t="shared" si="50"/>
        <v>0</v>
      </c>
    </row>
    <row r="416" spans="1:23" s="118" customFormat="1" hidden="1" x14ac:dyDescent="0.25">
      <c r="A416" s="64" t="str">
        <f t="shared" si="47"/>
        <v xml:space="preserve"> - кондиционеры</v>
      </c>
      <c r="B416" s="64" t="str">
        <f t="shared" si="47"/>
        <v>244</v>
      </c>
      <c r="C416" s="64" t="str">
        <f t="shared" si="47"/>
        <v>310</v>
      </c>
      <c r="D416" s="119"/>
      <c r="E416" s="120"/>
      <c r="F416" s="120"/>
      <c r="G416" s="120"/>
      <c r="H416" s="117"/>
      <c r="I416" s="117"/>
      <c r="R416" s="120"/>
      <c r="S416" s="120"/>
      <c r="T416" s="120"/>
      <c r="U416" s="120">
        <f t="shared" si="48"/>
        <v>0</v>
      </c>
      <c r="V416" s="120">
        <f t="shared" si="49"/>
        <v>0</v>
      </c>
      <c r="W416" s="120">
        <f t="shared" si="50"/>
        <v>0</v>
      </c>
    </row>
    <row r="417" spans="1:23" s="118" customFormat="1" hidden="1" x14ac:dyDescent="0.25">
      <c r="A417" s="64" t="str">
        <f t="shared" si="47"/>
        <v xml:space="preserve"> - мебель</v>
      </c>
      <c r="B417" s="64" t="str">
        <f t="shared" si="47"/>
        <v>244</v>
      </c>
      <c r="C417" s="64" t="str">
        <f t="shared" si="47"/>
        <v>310</v>
      </c>
      <c r="D417" s="119"/>
      <c r="E417" s="120"/>
      <c r="F417" s="120"/>
      <c r="G417" s="120"/>
      <c r="H417" s="117"/>
      <c r="I417" s="117"/>
      <c r="R417" s="120"/>
      <c r="S417" s="120"/>
      <c r="T417" s="120"/>
      <c r="U417" s="120">
        <f t="shared" si="48"/>
        <v>0</v>
      </c>
      <c r="V417" s="120">
        <f t="shared" si="49"/>
        <v>0</v>
      </c>
      <c r="W417" s="120">
        <f t="shared" si="50"/>
        <v>0</v>
      </c>
    </row>
    <row r="418" spans="1:23" s="118" customFormat="1" hidden="1" x14ac:dyDescent="0.25">
      <c r="A418" s="64" t="str">
        <f t="shared" si="47"/>
        <v xml:space="preserve"> - оборудование</v>
      </c>
      <c r="B418" s="64" t="str">
        <f t="shared" si="47"/>
        <v>244</v>
      </c>
      <c r="C418" s="64" t="str">
        <f t="shared" si="47"/>
        <v>310</v>
      </c>
      <c r="D418" s="119"/>
      <c r="E418" s="120"/>
      <c r="F418" s="120"/>
      <c r="G418" s="120"/>
      <c r="H418" s="117"/>
      <c r="I418" s="117"/>
      <c r="R418" s="120"/>
      <c r="S418" s="120"/>
      <c r="T418" s="120"/>
      <c r="U418" s="120">
        <f t="shared" si="48"/>
        <v>0</v>
      </c>
      <c r="V418" s="120">
        <f t="shared" si="49"/>
        <v>0</v>
      </c>
      <c r="W418" s="120">
        <f t="shared" si="50"/>
        <v>0</v>
      </c>
    </row>
    <row r="419" spans="1:23" s="118" customFormat="1" hidden="1" x14ac:dyDescent="0.25">
      <c r="A419" s="64" t="str">
        <f t="shared" si="47"/>
        <v xml:space="preserve"> - инструмент и инвентарь</v>
      </c>
      <c r="B419" s="64" t="str">
        <f t="shared" si="47"/>
        <v>244</v>
      </c>
      <c r="C419" s="64" t="str">
        <f t="shared" si="47"/>
        <v>310</v>
      </c>
      <c r="D419" s="119"/>
      <c r="E419" s="120"/>
      <c r="F419" s="120"/>
      <c r="G419" s="120"/>
      <c r="H419" s="117"/>
      <c r="I419" s="117"/>
      <c r="R419" s="120"/>
      <c r="S419" s="120"/>
      <c r="T419" s="120"/>
      <c r="U419" s="120">
        <f t="shared" si="48"/>
        <v>0</v>
      </c>
      <c r="V419" s="120">
        <f t="shared" si="49"/>
        <v>0</v>
      </c>
      <c r="W419" s="120">
        <f t="shared" si="50"/>
        <v>0</v>
      </c>
    </row>
    <row r="420" spans="1:23" s="118" customFormat="1" hidden="1" x14ac:dyDescent="0.25">
      <c r="A420" s="64" t="str">
        <f t="shared" si="47"/>
        <v xml:space="preserve"> - турникет</v>
      </c>
      <c r="B420" s="64" t="str">
        <f t="shared" si="47"/>
        <v>244</v>
      </c>
      <c r="C420" s="64" t="str">
        <f t="shared" si="47"/>
        <v>310</v>
      </c>
      <c r="D420" s="119"/>
      <c r="E420" s="120"/>
      <c r="F420" s="120"/>
      <c r="G420" s="120"/>
      <c r="H420" s="117"/>
      <c r="I420" s="117"/>
      <c r="R420" s="120"/>
      <c r="S420" s="120"/>
      <c r="T420" s="120"/>
      <c r="U420" s="120">
        <f t="shared" si="48"/>
        <v>0</v>
      </c>
      <c r="V420" s="120">
        <f t="shared" si="49"/>
        <v>0</v>
      </c>
      <c r="W420" s="120">
        <f t="shared" si="50"/>
        <v>0</v>
      </c>
    </row>
    <row r="421" spans="1:23" s="118" customFormat="1" hidden="1" x14ac:dyDescent="0.25">
      <c r="A421" s="64" t="str">
        <f t="shared" si="47"/>
        <v xml:space="preserve"> - жалюзи</v>
      </c>
      <c r="B421" s="64" t="str">
        <f t="shared" si="47"/>
        <v>244</v>
      </c>
      <c r="C421" s="64" t="str">
        <f t="shared" si="47"/>
        <v>310</v>
      </c>
      <c r="D421" s="119"/>
      <c r="E421" s="120"/>
      <c r="F421" s="120"/>
      <c r="G421" s="120"/>
      <c r="H421" s="117"/>
      <c r="I421" s="117"/>
      <c r="R421" s="120"/>
      <c r="S421" s="120"/>
      <c r="T421" s="120"/>
      <c r="U421" s="120">
        <f t="shared" si="48"/>
        <v>0</v>
      </c>
      <c r="V421" s="120">
        <f t="shared" si="49"/>
        <v>0</v>
      </c>
      <c r="W421" s="120">
        <f t="shared" si="50"/>
        <v>0</v>
      </c>
    </row>
    <row r="422" spans="1:23" s="118" customFormat="1" hidden="1" x14ac:dyDescent="0.25">
      <c r="A422" s="64" t="str">
        <f t="shared" si="47"/>
        <v xml:space="preserve"> - игрушки</v>
      </c>
      <c r="B422" s="64" t="str">
        <f t="shared" si="47"/>
        <v>244</v>
      </c>
      <c r="C422" s="64" t="str">
        <f t="shared" si="47"/>
        <v>310</v>
      </c>
      <c r="D422" s="119"/>
      <c r="E422" s="120"/>
      <c r="F422" s="120"/>
      <c r="G422" s="120"/>
      <c r="H422" s="117"/>
      <c r="I422" s="117"/>
      <c r="R422" s="120"/>
      <c r="S422" s="120"/>
      <c r="T422" s="120"/>
      <c r="U422" s="120">
        <f t="shared" si="48"/>
        <v>0</v>
      </c>
      <c r="V422" s="120">
        <f t="shared" si="49"/>
        <v>0</v>
      </c>
      <c r="W422" s="120">
        <f t="shared" si="50"/>
        <v>0</v>
      </c>
    </row>
    <row r="423" spans="1:23" s="118" customFormat="1" hidden="1" x14ac:dyDescent="0.25">
      <c r="A423" s="64" t="str">
        <f t="shared" si="47"/>
        <v xml:space="preserve"> - металлические входные двери</v>
      </c>
      <c r="B423" s="64" t="str">
        <f t="shared" si="47"/>
        <v>244</v>
      </c>
      <c r="C423" s="64" t="str">
        <f t="shared" si="47"/>
        <v>310</v>
      </c>
      <c r="D423" s="119"/>
      <c r="E423" s="120"/>
      <c r="F423" s="120"/>
      <c r="G423" s="120"/>
      <c r="H423" s="117"/>
      <c r="I423" s="117"/>
      <c r="R423" s="120"/>
      <c r="S423" s="120"/>
      <c r="T423" s="120"/>
      <c r="U423" s="120">
        <f t="shared" si="48"/>
        <v>0</v>
      </c>
      <c r="V423" s="120">
        <f t="shared" si="49"/>
        <v>0</v>
      </c>
      <c r="W423" s="120">
        <f t="shared" si="50"/>
        <v>0</v>
      </c>
    </row>
    <row r="424" spans="1:23" s="45" customFormat="1" ht="27.6" x14ac:dyDescent="0.25">
      <c r="A424" s="52" t="str">
        <f t="shared" si="47"/>
        <v xml:space="preserve"> - увеличение стоимости материальных запасов, всего:</v>
      </c>
      <c r="B424" s="52" t="str">
        <f t="shared" si="47"/>
        <v>244</v>
      </c>
      <c r="C424" s="52" t="str">
        <f t="shared" si="47"/>
        <v>340</v>
      </c>
      <c r="D424" s="104"/>
      <c r="E424" s="62">
        <f>SUM(E425:E439)</f>
        <v>71003.27</v>
      </c>
      <c r="F424" s="62">
        <f>SUM(F425:F439)</f>
        <v>70000</v>
      </c>
      <c r="G424" s="62">
        <f>SUM(G425:G439)</f>
        <v>70000</v>
      </c>
      <c r="H424" s="63"/>
      <c r="I424" s="63"/>
      <c r="R424" s="62"/>
      <c r="S424" s="62"/>
      <c r="T424" s="62"/>
      <c r="U424" s="62">
        <f t="shared" si="48"/>
        <v>71003.27</v>
      </c>
      <c r="V424" s="62">
        <f t="shared" si="49"/>
        <v>70000</v>
      </c>
      <c r="W424" s="62">
        <f t="shared" si="50"/>
        <v>70000</v>
      </c>
    </row>
    <row r="425" spans="1:23" s="58" customFormat="1" hidden="1" x14ac:dyDescent="0.25">
      <c r="A425" s="52" t="str">
        <f t="shared" si="47"/>
        <v xml:space="preserve"> - ГСМ</v>
      </c>
      <c r="B425" s="52" t="str">
        <f t="shared" si="47"/>
        <v>244</v>
      </c>
      <c r="C425" s="52" t="str">
        <f t="shared" si="47"/>
        <v>343</v>
      </c>
      <c r="D425" s="53"/>
      <c r="E425" s="54"/>
      <c r="F425" s="54"/>
      <c r="G425" s="54"/>
      <c r="H425" s="57"/>
      <c r="I425" s="57"/>
      <c r="R425" s="54"/>
      <c r="S425" s="54"/>
      <c r="T425" s="54"/>
      <c r="U425" s="54">
        <f t="shared" si="48"/>
        <v>0</v>
      </c>
      <c r="V425" s="54">
        <f t="shared" si="49"/>
        <v>0</v>
      </c>
      <c r="W425" s="54">
        <f t="shared" si="50"/>
        <v>0</v>
      </c>
    </row>
    <row r="426" spans="1:23" s="58" customFormat="1" x14ac:dyDescent="0.25">
      <c r="A426" s="52" t="str">
        <f t="shared" si="47"/>
        <v xml:space="preserve"> - продукты питания</v>
      </c>
      <c r="B426" s="52" t="str">
        <f t="shared" si="47"/>
        <v>244</v>
      </c>
      <c r="C426" s="52" t="s">
        <v>1146</v>
      </c>
      <c r="D426" s="53"/>
      <c r="E426" s="818">
        <f>1003.27+70000</f>
        <v>71003.27</v>
      </c>
      <c r="F426" s="818">
        <v>70000</v>
      </c>
      <c r="G426" s="818">
        <f>F426</f>
        <v>70000</v>
      </c>
      <c r="H426" s="57"/>
      <c r="I426" s="57"/>
      <c r="R426" s="54"/>
      <c r="S426" s="54"/>
      <c r="T426" s="54"/>
      <c r="U426" s="54">
        <f t="shared" si="48"/>
        <v>71003.27</v>
      </c>
      <c r="V426" s="54">
        <f t="shared" si="49"/>
        <v>70000</v>
      </c>
      <c r="W426" s="54">
        <f t="shared" si="50"/>
        <v>70000</v>
      </c>
    </row>
    <row r="427" spans="1:23" s="58" customFormat="1" hidden="1" x14ac:dyDescent="0.25">
      <c r="A427" s="52" t="str">
        <f t="shared" si="47"/>
        <v xml:space="preserve"> - расходные материалы к комп.технике</v>
      </c>
      <c r="B427" s="52" t="str">
        <f t="shared" si="47"/>
        <v>244</v>
      </c>
      <c r="C427" s="52" t="str">
        <f t="shared" si="47"/>
        <v>346</v>
      </c>
      <c r="D427" s="53"/>
      <c r="E427" s="54"/>
      <c r="F427" s="54"/>
      <c r="G427" s="54"/>
      <c r="H427" s="57"/>
      <c r="I427" s="57"/>
      <c r="R427" s="54"/>
      <c r="S427" s="54"/>
      <c r="T427" s="54"/>
      <c r="U427" s="54">
        <f t="shared" si="48"/>
        <v>0</v>
      </c>
      <c r="V427" s="54">
        <f t="shared" si="49"/>
        <v>0</v>
      </c>
      <c r="W427" s="54">
        <f t="shared" si="50"/>
        <v>0</v>
      </c>
    </row>
    <row r="428" spans="1:23" s="58" customFormat="1" hidden="1" x14ac:dyDescent="0.25">
      <c r="A428" s="52" t="str">
        <f t="shared" si="47"/>
        <v xml:space="preserve"> - медикаменты</v>
      </c>
      <c r="B428" s="52" t="str">
        <f t="shared" si="47"/>
        <v>244</v>
      </c>
      <c r="C428" s="52" t="str">
        <f t="shared" si="47"/>
        <v>341</v>
      </c>
      <c r="D428" s="53"/>
      <c r="E428" s="54"/>
      <c r="F428" s="54"/>
      <c r="G428" s="54"/>
      <c r="H428" s="57"/>
      <c r="I428" s="57"/>
      <c r="R428" s="54"/>
      <c r="S428" s="54"/>
      <c r="T428" s="54"/>
      <c r="U428" s="54">
        <f t="shared" si="48"/>
        <v>0</v>
      </c>
      <c r="V428" s="54">
        <f t="shared" si="49"/>
        <v>0</v>
      </c>
      <c r="W428" s="54">
        <f t="shared" si="50"/>
        <v>0</v>
      </c>
    </row>
    <row r="429" spans="1:23" s="58" customFormat="1" hidden="1" x14ac:dyDescent="0.25">
      <c r="A429" s="52" t="str">
        <f t="shared" si="47"/>
        <v xml:space="preserve"> - строительные материалы</v>
      </c>
      <c r="B429" s="52" t="str">
        <f t="shared" si="47"/>
        <v>244</v>
      </c>
      <c r="C429" s="52" t="str">
        <f t="shared" si="47"/>
        <v>344</v>
      </c>
      <c r="D429" s="53"/>
      <c r="E429" s="54"/>
      <c r="F429" s="54"/>
      <c r="G429" s="54"/>
      <c r="H429" s="57"/>
      <c r="I429" s="57"/>
      <c r="R429" s="54"/>
      <c r="S429" s="54"/>
      <c r="T429" s="54"/>
      <c r="U429" s="54">
        <f t="shared" si="48"/>
        <v>0</v>
      </c>
      <c r="V429" s="54">
        <f t="shared" si="49"/>
        <v>0</v>
      </c>
      <c r="W429" s="54">
        <f t="shared" si="50"/>
        <v>0</v>
      </c>
    </row>
    <row r="430" spans="1:23" s="58" customFormat="1" hidden="1" x14ac:dyDescent="0.25">
      <c r="A430" s="52" t="str">
        <f t="shared" si="47"/>
        <v xml:space="preserve"> - ворота, калитка</v>
      </c>
      <c r="B430" s="52" t="str">
        <f t="shared" si="47"/>
        <v>244</v>
      </c>
      <c r="C430" s="52" t="str">
        <f t="shared" si="47"/>
        <v>344</v>
      </c>
      <c r="D430" s="53"/>
      <c r="E430" s="54"/>
      <c r="F430" s="54"/>
      <c r="G430" s="54"/>
      <c r="H430" s="57"/>
      <c r="I430" s="57"/>
      <c r="R430" s="54"/>
      <c r="S430" s="54"/>
      <c r="T430" s="54"/>
      <c r="U430" s="54">
        <f t="shared" si="48"/>
        <v>0</v>
      </c>
      <c r="V430" s="54">
        <f t="shared" si="49"/>
        <v>0</v>
      </c>
      <c r="W430" s="54">
        <f t="shared" si="50"/>
        <v>0</v>
      </c>
    </row>
    <row r="431" spans="1:23" s="58" customFormat="1" hidden="1" x14ac:dyDescent="0.25">
      <c r="A431" s="52" t="str">
        <f t="shared" ref="A431:C439" si="51">A161</f>
        <v xml:space="preserve"> - канцелярские товары</v>
      </c>
      <c r="B431" s="52" t="str">
        <f t="shared" si="51"/>
        <v>244</v>
      </c>
      <c r="C431" s="52" t="str">
        <f t="shared" si="51"/>
        <v>346</v>
      </c>
      <c r="D431" s="53"/>
      <c r="E431" s="54"/>
      <c r="F431" s="54"/>
      <c r="G431" s="54"/>
      <c r="H431" s="57"/>
      <c r="I431" s="57"/>
      <c r="R431" s="54"/>
      <c r="S431" s="54"/>
      <c r="T431" s="54"/>
      <c r="U431" s="54">
        <f t="shared" si="48"/>
        <v>0</v>
      </c>
      <c r="V431" s="54">
        <f t="shared" si="49"/>
        <v>0</v>
      </c>
      <c r="W431" s="54">
        <f t="shared" si="50"/>
        <v>0</v>
      </c>
    </row>
    <row r="432" spans="1:23" s="58" customFormat="1" hidden="1" x14ac:dyDescent="0.25">
      <c r="A432" s="52" t="str">
        <f t="shared" si="51"/>
        <v xml:space="preserve"> - хозяйственные товары, электрика</v>
      </c>
      <c r="B432" s="52" t="str">
        <f t="shared" si="51"/>
        <v>244</v>
      </c>
      <c r="C432" s="52" t="str">
        <f t="shared" si="51"/>
        <v>346</v>
      </c>
      <c r="D432" s="53"/>
      <c r="E432" s="54"/>
      <c r="F432" s="54"/>
      <c r="G432" s="54"/>
      <c r="H432" s="57"/>
      <c r="I432" s="57"/>
      <c r="R432" s="54"/>
      <c r="S432" s="54"/>
      <c r="T432" s="54"/>
      <c r="U432" s="54">
        <f t="shared" si="48"/>
        <v>0</v>
      </c>
      <c r="V432" s="54">
        <f t="shared" si="49"/>
        <v>0</v>
      </c>
      <c r="W432" s="54">
        <f t="shared" si="50"/>
        <v>0</v>
      </c>
    </row>
    <row r="433" spans="1:23" s="58" customFormat="1" hidden="1" x14ac:dyDescent="0.25">
      <c r="A433" s="52" t="str">
        <f t="shared" si="51"/>
        <v xml:space="preserve"> - бланки</v>
      </c>
      <c r="B433" s="52" t="str">
        <f t="shared" si="51"/>
        <v>244</v>
      </c>
      <c r="C433" s="52" t="str">
        <f t="shared" si="51"/>
        <v>346</v>
      </c>
      <c r="D433" s="53"/>
      <c r="E433" s="54"/>
      <c r="F433" s="54"/>
      <c r="G433" s="54"/>
      <c r="H433" s="57"/>
      <c r="I433" s="57"/>
      <c r="R433" s="54"/>
      <c r="S433" s="54"/>
      <c r="T433" s="54"/>
      <c r="U433" s="54">
        <f t="shared" si="48"/>
        <v>0</v>
      </c>
      <c r="V433" s="54">
        <f t="shared" si="49"/>
        <v>0</v>
      </c>
      <c r="W433" s="54">
        <f t="shared" si="50"/>
        <v>0</v>
      </c>
    </row>
    <row r="434" spans="1:23" s="58" customFormat="1" hidden="1" x14ac:dyDescent="0.25">
      <c r="A434" s="52" t="str">
        <f t="shared" si="51"/>
        <v xml:space="preserve"> - моющие</v>
      </c>
      <c r="B434" s="52" t="str">
        <f t="shared" si="51"/>
        <v>244</v>
      </c>
      <c r="C434" s="52" t="str">
        <f t="shared" si="51"/>
        <v>346</v>
      </c>
      <c r="D434" s="53"/>
      <c r="E434" s="54"/>
      <c r="F434" s="54"/>
      <c r="G434" s="54"/>
      <c r="H434" s="57"/>
      <c r="I434" s="57"/>
      <c r="R434" s="54"/>
      <c r="S434" s="54"/>
      <c r="T434" s="54"/>
      <c r="U434" s="54">
        <f t="shared" si="48"/>
        <v>0</v>
      </c>
      <c r="V434" s="54">
        <f t="shared" si="49"/>
        <v>0</v>
      </c>
      <c r="W434" s="54">
        <f t="shared" si="50"/>
        <v>0</v>
      </c>
    </row>
    <row r="435" spans="1:23" s="58" customFormat="1" hidden="1" x14ac:dyDescent="0.25">
      <c r="A435" s="52" t="str">
        <f t="shared" si="51"/>
        <v xml:space="preserve"> - новогодние подарки детям сотрудников</v>
      </c>
      <c r="B435" s="52" t="str">
        <f t="shared" si="51"/>
        <v>244</v>
      </c>
      <c r="C435" s="52" t="str">
        <f t="shared" si="51"/>
        <v>349</v>
      </c>
      <c r="D435" s="53"/>
      <c r="E435" s="54"/>
      <c r="F435" s="54"/>
      <c r="G435" s="54"/>
      <c r="H435" s="57"/>
      <c r="I435" s="57"/>
      <c r="R435" s="54"/>
      <c r="S435" s="54"/>
      <c r="T435" s="54"/>
      <c r="U435" s="54">
        <f t="shared" si="48"/>
        <v>0</v>
      </c>
      <c r="V435" s="54">
        <f t="shared" si="49"/>
        <v>0</v>
      </c>
      <c r="W435" s="54">
        <f t="shared" si="50"/>
        <v>0</v>
      </c>
    </row>
    <row r="436" spans="1:23" s="58" customFormat="1" hidden="1" x14ac:dyDescent="0.25">
      <c r="A436" s="52" t="str">
        <f t="shared" si="51"/>
        <v xml:space="preserve"> - новогодние подарки сотрудникам</v>
      </c>
      <c r="B436" s="52" t="str">
        <f t="shared" si="51"/>
        <v>244</v>
      </c>
      <c r="C436" s="52" t="str">
        <f t="shared" si="51"/>
        <v>349</v>
      </c>
      <c r="D436" s="53"/>
      <c r="E436" s="54"/>
      <c r="F436" s="54"/>
      <c r="G436" s="54"/>
      <c r="H436" s="57"/>
      <c r="I436" s="57"/>
      <c r="R436" s="54"/>
      <c r="S436" s="54"/>
      <c r="T436" s="54"/>
      <c r="U436" s="54">
        <f t="shared" si="48"/>
        <v>0</v>
      </c>
      <c r="V436" s="54">
        <f t="shared" si="49"/>
        <v>0</v>
      </c>
      <c r="W436" s="54">
        <f t="shared" si="50"/>
        <v>0</v>
      </c>
    </row>
    <row r="437" spans="1:23" s="58" customFormat="1" hidden="1" x14ac:dyDescent="0.25">
      <c r="A437" s="52" t="str">
        <f t="shared" si="51"/>
        <v xml:space="preserve"> - прочие материальные запасы</v>
      </c>
      <c r="B437" s="52" t="str">
        <f t="shared" si="51"/>
        <v>244</v>
      </c>
      <c r="C437" s="52" t="str">
        <f t="shared" si="51"/>
        <v>346</v>
      </c>
      <c r="D437" s="53"/>
      <c r="E437" s="54"/>
      <c r="F437" s="54"/>
      <c r="G437" s="54"/>
      <c r="H437" s="57"/>
      <c r="I437" s="57"/>
      <c r="R437" s="54"/>
      <c r="S437" s="54"/>
      <c r="T437" s="54"/>
      <c r="U437" s="54">
        <f t="shared" si="48"/>
        <v>0</v>
      </c>
      <c r="V437" s="54">
        <f t="shared" si="49"/>
        <v>0</v>
      </c>
      <c r="W437" s="54">
        <f t="shared" si="50"/>
        <v>0</v>
      </c>
    </row>
    <row r="438" spans="1:23" s="58" customFormat="1" hidden="1" x14ac:dyDescent="0.25">
      <c r="A438" s="52" t="str">
        <f t="shared" si="51"/>
        <v xml:space="preserve"> - спецодежда МОП</v>
      </c>
      <c r="B438" s="52" t="str">
        <f t="shared" si="51"/>
        <v>244</v>
      </c>
      <c r="C438" s="52" t="str">
        <f t="shared" si="51"/>
        <v>345</v>
      </c>
      <c r="D438" s="53"/>
      <c r="E438" s="54"/>
      <c r="F438" s="54"/>
      <c r="G438" s="54"/>
      <c r="H438" s="57"/>
      <c r="I438" s="57"/>
      <c r="R438" s="54"/>
      <c r="S438" s="54"/>
      <c r="T438" s="54"/>
      <c r="U438" s="54">
        <f t="shared" si="48"/>
        <v>0</v>
      </c>
      <c r="V438" s="54">
        <f t="shared" si="49"/>
        <v>0</v>
      </c>
      <c r="W438" s="54">
        <f t="shared" si="50"/>
        <v>0</v>
      </c>
    </row>
    <row r="439" spans="1:23" s="58" customFormat="1" hidden="1" x14ac:dyDescent="0.25">
      <c r="A439" s="52" t="str">
        <f t="shared" si="51"/>
        <v xml:space="preserve"> - запчасти для а/м</v>
      </c>
      <c r="B439" s="52" t="str">
        <f t="shared" si="51"/>
        <v>244</v>
      </c>
      <c r="C439" s="52" t="str">
        <f t="shared" si="51"/>
        <v>346</v>
      </c>
      <c r="D439" s="53"/>
      <c r="E439" s="54"/>
      <c r="F439" s="54"/>
      <c r="G439" s="54"/>
      <c r="H439" s="57"/>
      <c r="I439" s="57"/>
      <c r="R439" s="54"/>
      <c r="S439" s="54"/>
      <c r="T439" s="54"/>
      <c r="U439" s="54">
        <f t="shared" si="48"/>
        <v>0</v>
      </c>
      <c r="V439" s="54">
        <f t="shared" si="49"/>
        <v>0</v>
      </c>
      <c r="W439" s="54">
        <f t="shared" si="50"/>
        <v>0</v>
      </c>
    </row>
    <row r="440" spans="1:23" s="45" customFormat="1" hidden="1" x14ac:dyDescent="0.25">
      <c r="A440" s="71" t="s">
        <v>345</v>
      </c>
      <c r="B440" s="68"/>
      <c r="C440" s="68"/>
      <c r="D440" s="68" t="s">
        <v>37</v>
      </c>
      <c r="E440" s="61">
        <f>SUM(E441,E442,E443,E444,E445,E446,E447,E455,E453,E479,E497,E499,E500,E501,E502,E504,E514,E451,E454,E498,E450,E452,E496,E503)</f>
        <v>0</v>
      </c>
      <c r="F440" s="61">
        <f>SUM(F441,F442,F443,F444,F445,F446,F447,F455,F453,F479,F497,F499,F500,F501,F502,F504,F514,F451,F454,F498,F450,F452,F496,F503)</f>
        <v>0</v>
      </c>
      <c r="G440" s="61">
        <f>SUM(G441,G442,G443,G444,G445,G446,G447,G455,G453,G479,G497,G499,G500,G501,G502,G504,G514,G451,G454,G498,G450,G452,G496,G503)</f>
        <v>0</v>
      </c>
      <c r="H440" s="63"/>
      <c r="I440" s="63"/>
      <c r="R440" s="61"/>
      <c r="S440" s="61"/>
      <c r="T440" s="61"/>
      <c r="U440" s="61">
        <f t="shared" si="48"/>
        <v>0</v>
      </c>
      <c r="V440" s="61">
        <f t="shared" si="49"/>
        <v>0</v>
      </c>
      <c r="W440" s="61">
        <f t="shared" si="50"/>
        <v>0</v>
      </c>
    </row>
    <row r="441" spans="1:23" hidden="1" x14ac:dyDescent="0.25">
      <c r="A441" s="441" t="str">
        <f t="shared" ref="A441:C460" si="52">A81</f>
        <v xml:space="preserve"> - заработная плата</v>
      </c>
      <c r="B441" s="441" t="str">
        <f t="shared" si="52"/>
        <v>111</v>
      </c>
      <c r="C441" s="441" t="str">
        <f t="shared" si="52"/>
        <v>211</v>
      </c>
      <c r="D441" s="53" t="s">
        <v>37</v>
      </c>
      <c r="E441" s="54"/>
      <c r="F441" s="54"/>
      <c r="G441" s="54"/>
      <c r="H441" s="56"/>
      <c r="R441" s="54"/>
      <c r="S441" s="54"/>
      <c r="T441" s="54"/>
      <c r="U441" s="54">
        <f t="shared" si="48"/>
        <v>0</v>
      </c>
      <c r="V441" s="54">
        <f t="shared" si="49"/>
        <v>0</v>
      </c>
      <c r="W441" s="54">
        <f t="shared" si="50"/>
        <v>0</v>
      </c>
    </row>
    <row r="442" spans="1:23" hidden="1" x14ac:dyDescent="0.25">
      <c r="A442" s="52" t="str">
        <f t="shared" si="52"/>
        <v xml:space="preserve"> - 3 дн б/л за счет работодателя</v>
      </c>
      <c r="B442" s="52" t="str">
        <f t="shared" si="52"/>
        <v>111</v>
      </c>
      <c r="C442" s="52" t="str">
        <f t="shared" si="52"/>
        <v>266</v>
      </c>
      <c r="D442" s="53" t="s">
        <v>37</v>
      </c>
      <c r="E442" s="54"/>
      <c r="F442" s="54"/>
      <c r="G442" s="54"/>
      <c r="H442" s="56"/>
      <c r="I442" s="56"/>
      <c r="J442" s="56"/>
      <c r="R442" s="54"/>
      <c r="S442" s="54"/>
      <c r="T442" s="54"/>
      <c r="U442" s="54">
        <f t="shared" si="48"/>
        <v>0</v>
      </c>
      <c r="V442" s="54">
        <f t="shared" si="49"/>
        <v>0</v>
      </c>
      <c r="W442" s="54">
        <f t="shared" si="50"/>
        <v>0</v>
      </c>
    </row>
    <row r="443" spans="1:23" s="58" customFormat="1" hidden="1" x14ac:dyDescent="0.25">
      <c r="A443" s="52" t="str">
        <f t="shared" si="52"/>
        <v xml:space="preserve"> - пособие по уходу за ребенком</v>
      </c>
      <c r="B443" s="52" t="str">
        <f t="shared" si="52"/>
        <v>112</v>
      </c>
      <c r="C443" s="52" t="str">
        <f t="shared" si="52"/>
        <v>266</v>
      </c>
      <c r="D443" s="53" t="s">
        <v>37</v>
      </c>
      <c r="E443" s="54"/>
      <c r="F443" s="54"/>
      <c r="G443" s="54"/>
      <c r="H443" s="57"/>
      <c r="I443" s="57"/>
      <c r="R443" s="54"/>
      <c r="S443" s="54"/>
      <c r="T443" s="54"/>
      <c r="U443" s="54">
        <f t="shared" si="48"/>
        <v>0</v>
      </c>
      <c r="V443" s="54">
        <f t="shared" si="49"/>
        <v>0</v>
      </c>
      <c r="W443" s="54">
        <f t="shared" si="50"/>
        <v>0</v>
      </c>
    </row>
    <row r="444" spans="1:23" s="58" customFormat="1" hidden="1" x14ac:dyDescent="0.25">
      <c r="A444" s="52" t="str">
        <f t="shared" si="52"/>
        <v xml:space="preserve"> - предварительный мед.осмотр (возм.расх.)</v>
      </c>
      <c r="B444" s="52" t="str">
        <f t="shared" si="52"/>
        <v>112</v>
      </c>
      <c r="C444" s="52" t="str">
        <f t="shared" si="52"/>
        <v>226</v>
      </c>
      <c r="D444" s="53" t="s">
        <v>37</v>
      </c>
      <c r="E444" s="54"/>
      <c r="F444" s="54"/>
      <c r="G444" s="54"/>
      <c r="H444" s="57"/>
      <c r="I444" s="57"/>
      <c r="R444" s="54"/>
      <c r="S444" s="54"/>
      <c r="T444" s="54"/>
      <c r="U444" s="54">
        <f t="shared" si="48"/>
        <v>0</v>
      </c>
      <c r="V444" s="54">
        <f t="shared" si="49"/>
        <v>0</v>
      </c>
      <c r="W444" s="54">
        <f t="shared" si="50"/>
        <v>0</v>
      </c>
    </row>
    <row r="445" spans="1:23" s="58" customFormat="1" hidden="1" x14ac:dyDescent="0.25">
      <c r="A445" s="52" t="str">
        <f t="shared" si="52"/>
        <v xml:space="preserve"> - НДФЛ</v>
      </c>
      <c r="B445" s="52" t="str">
        <f t="shared" si="52"/>
        <v>112</v>
      </c>
      <c r="C445" s="52" t="str">
        <f t="shared" si="52"/>
        <v>266</v>
      </c>
      <c r="D445" s="53" t="s">
        <v>37</v>
      </c>
      <c r="E445" s="54"/>
      <c r="F445" s="54"/>
      <c r="G445" s="54"/>
      <c r="H445" s="57"/>
      <c r="I445" s="57"/>
      <c r="R445" s="54"/>
      <c r="S445" s="54"/>
      <c r="T445" s="54"/>
      <c r="U445" s="54">
        <f t="shared" si="48"/>
        <v>0</v>
      </c>
      <c r="V445" s="54">
        <f t="shared" si="49"/>
        <v>0</v>
      </c>
      <c r="W445" s="54">
        <f t="shared" si="50"/>
        <v>0</v>
      </c>
    </row>
    <row r="446" spans="1:23" hidden="1" x14ac:dyDescent="0.25">
      <c r="A446" s="52" t="str">
        <f t="shared" si="52"/>
        <v xml:space="preserve"> - начисления на оплату труда</v>
      </c>
      <c r="B446" s="52" t="str">
        <f t="shared" si="52"/>
        <v>119</v>
      </c>
      <c r="C446" s="52" t="str">
        <f t="shared" si="52"/>
        <v>213</v>
      </c>
      <c r="D446" s="53" t="s">
        <v>37</v>
      </c>
      <c r="E446" s="54"/>
      <c r="F446" s="54"/>
      <c r="G446" s="54"/>
      <c r="H446" s="56"/>
      <c r="R446" s="54"/>
      <c r="S446" s="54"/>
      <c r="T446" s="54"/>
      <c r="U446" s="54">
        <f t="shared" ref="U446:U477" si="53">E446-R446</f>
        <v>0</v>
      </c>
      <c r="V446" s="54">
        <f t="shared" ref="V446:V477" si="54">F446-S446</f>
        <v>0</v>
      </c>
      <c r="W446" s="54">
        <f t="shared" ref="W446:W477" si="55">G446-T446</f>
        <v>0</v>
      </c>
    </row>
    <row r="447" spans="1:23" s="45" customFormat="1" hidden="1" x14ac:dyDescent="0.25">
      <c r="A447" s="52" t="str">
        <f t="shared" si="52"/>
        <v xml:space="preserve"> - услуги связи, всего:</v>
      </c>
      <c r="B447" s="52" t="str">
        <f t="shared" si="52"/>
        <v>244</v>
      </c>
      <c r="C447" s="52" t="str">
        <f t="shared" si="52"/>
        <v>221</v>
      </c>
      <c r="D447" s="60"/>
      <c r="E447" s="61">
        <f>SUM(E448:E449)</f>
        <v>0</v>
      </c>
      <c r="F447" s="61">
        <f>SUM(F448:F449)</f>
        <v>0</v>
      </c>
      <c r="G447" s="61">
        <f>SUM(G448:G449)</f>
        <v>0</v>
      </c>
      <c r="H447" s="63"/>
      <c r="R447" s="61"/>
      <c r="S447" s="61"/>
      <c r="T447" s="61"/>
      <c r="U447" s="61">
        <f t="shared" si="53"/>
        <v>0</v>
      </c>
      <c r="V447" s="61">
        <f t="shared" si="54"/>
        <v>0</v>
      </c>
      <c r="W447" s="61">
        <f t="shared" si="55"/>
        <v>0</v>
      </c>
    </row>
    <row r="448" spans="1:23" ht="27.6" hidden="1" x14ac:dyDescent="0.25">
      <c r="A448" s="52" t="str">
        <f t="shared" si="52"/>
        <v xml:space="preserve">   в том числе:
    - ГТС и МТС</v>
      </c>
      <c r="B448" s="52" t="str">
        <f t="shared" si="52"/>
        <v>244</v>
      </c>
      <c r="C448" s="52" t="str">
        <f t="shared" si="52"/>
        <v>221</v>
      </c>
      <c r="D448" s="53"/>
      <c r="E448" s="54"/>
      <c r="F448" s="54"/>
      <c r="G448" s="54"/>
      <c r="H448" s="56"/>
      <c r="I448" s="56"/>
      <c r="R448" s="54"/>
      <c r="S448" s="54"/>
      <c r="T448" s="54"/>
      <c r="U448" s="54">
        <f t="shared" si="53"/>
        <v>0</v>
      </c>
      <c r="V448" s="54">
        <f t="shared" si="54"/>
        <v>0</v>
      </c>
      <c r="W448" s="54">
        <f t="shared" si="55"/>
        <v>0</v>
      </c>
    </row>
    <row r="449" spans="1:23" s="58" customFormat="1" hidden="1" x14ac:dyDescent="0.25">
      <c r="A449" s="52" t="str">
        <f t="shared" si="52"/>
        <v xml:space="preserve">    - интернет </v>
      </c>
      <c r="B449" s="52" t="str">
        <f t="shared" si="52"/>
        <v>244</v>
      </c>
      <c r="C449" s="52" t="str">
        <f t="shared" si="52"/>
        <v>221</v>
      </c>
      <c r="D449" s="53"/>
      <c r="E449" s="54"/>
      <c r="F449" s="54"/>
      <c r="G449" s="54"/>
      <c r="H449" s="57"/>
      <c r="I449" s="57"/>
      <c r="R449" s="54"/>
      <c r="S449" s="54"/>
      <c r="T449" s="54"/>
      <c r="U449" s="54">
        <f t="shared" si="53"/>
        <v>0</v>
      </c>
      <c r="V449" s="54">
        <f t="shared" si="54"/>
        <v>0</v>
      </c>
      <c r="W449" s="54">
        <f t="shared" si="55"/>
        <v>0</v>
      </c>
    </row>
    <row r="450" spans="1:23" s="58" customFormat="1" hidden="1" x14ac:dyDescent="0.25">
      <c r="A450" s="52" t="str">
        <f t="shared" si="52"/>
        <v xml:space="preserve"> - транспортные расходы</v>
      </c>
      <c r="B450" s="52" t="str">
        <f t="shared" si="52"/>
        <v>244</v>
      </c>
      <c r="C450" s="52" t="str">
        <f t="shared" si="52"/>
        <v>222</v>
      </c>
      <c r="D450" s="53"/>
      <c r="E450" s="54"/>
      <c r="F450" s="54"/>
      <c r="G450" s="54"/>
      <c r="I450" s="57"/>
      <c r="R450" s="54"/>
      <c r="S450" s="54"/>
      <c r="T450" s="54"/>
      <c r="U450" s="54">
        <f t="shared" si="53"/>
        <v>0</v>
      </c>
      <c r="V450" s="54">
        <f t="shared" si="54"/>
        <v>0</v>
      </c>
      <c r="W450" s="54">
        <f t="shared" si="55"/>
        <v>0</v>
      </c>
    </row>
    <row r="451" spans="1:23" hidden="1" x14ac:dyDescent="0.25">
      <c r="A451" s="52" t="str">
        <f t="shared" si="52"/>
        <v xml:space="preserve"> - коммунальные расходы (без ЖБО)</v>
      </c>
      <c r="B451" s="52" t="str">
        <f t="shared" si="52"/>
        <v>244</v>
      </c>
      <c r="C451" s="52" t="str">
        <f t="shared" si="52"/>
        <v>223</v>
      </c>
      <c r="D451" s="53" t="s">
        <v>399</v>
      </c>
      <c r="E451" s="54">
        <f>'Приложение 4,5,6 расходы'!V140+'Приложение 4,5,6 расходы'!V157</f>
        <v>0</v>
      </c>
      <c r="F451" s="54"/>
      <c r="G451" s="54"/>
      <c r="H451" s="56"/>
      <c r="I451" s="56"/>
      <c r="J451" s="56"/>
      <c r="K451" s="56"/>
      <c r="R451" s="54"/>
      <c r="S451" s="54"/>
      <c r="T451" s="54"/>
      <c r="U451" s="54">
        <f t="shared" si="53"/>
        <v>0</v>
      </c>
      <c r="V451" s="54">
        <f t="shared" si="54"/>
        <v>0</v>
      </c>
      <c r="W451" s="54">
        <f t="shared" si="55"/>
        <v>0</v>
      </c>
    </row>
    <row r="452" spans="1:23" hidden="1" x14ac:dyDescent="0.25">
      <c r="A452" s="52" t="str">
        <f t="shared" si="52"/>
        <v xml:space="preserve"> - коммунальные расходы (без ЖБО)</v>
      </c>
      <c r="B452" s="52" t="str">
        <f t="shared" si="52"/>
        <v>247</v>
      </c>
      <c r="C452" s="52" t="str">
        <f t="shared" si="52"/>
        <v>223</v>
      </c>
      <c r="D452" s="53" t="s">
        <v>399</v>
      </c>
      <c r="E452" s="54">
        <f>'Приложение 4,5,6 расходы'!V57</f>
        <v>0</v>
      </c>
      <c r="F452" s="54"/>
      <c r="G452" s="54"/>
      <c r="H452" s="56"/>
      <c r="I452" s="56"/>
      <c r="J452" s="56"/>
      <c r="K452" s="56"/>
      <c r="R452" s="54"/>
      <c r="S452" s="54"/>
      <c r="T452" s="54"/>
      <c r="U452" s="54">
        <f t="shared" si="53"/>
        <v>0</v>
      </c>
      <c r="V452" s="54">
        <f t="shared" si="54"/>
        <v>0</v>
      </c>
      <c r="W452" s="54">
        <f t="shared" si="55"/>
        <v>0</v>
      </c>
    </row>
    <row r="453" spans="1:23" hidden="1" x14ac:dyDescent="0.25">
      <c r="A453" s="52" t="str">
        <f t="shared" si="52"/>
        <v xml:space="preserve">    - ЖБО </v>
      </c>
      <c r="B453" s="52" t="str">
        <f t="shared" si="52"/>
        <v>244</v>
      </c>
      <c r="C453" s="52" t="str">
        <f t="shared" si="52"/>
        <v>223</v>
      </c>
      <c r="D453" s="53" t="s">
        <v>268</v>
      </c>
      <c r="E453" s="54"/>
      <c r="F453" s="54"/>
      <c r="G453" s="54"/>
      <c r="H453" s="58"/>
      <c r="I453" s="57"/>
      <c r="J453" s="56"/>
      <c r="K453" s="56"/>
      <c r="R453" s="54"/>
      <c r="S453" s="54"/>
      <c r="T453" s="54"/>
      <c r="U453" s="54">
        <f t="shared" si="53"/>
        <v>0</v>
      </c>
      <c r="V453" s="54">
        <f t="shared" si="54"/>
        <v>0</v>
      </c>
      <c r="W453" s="54">
        <f t="shared" si="55"/>
        <v>0</v>
      </c>
    </row>
    <row r="454" spans="1:23" s="58" customFormat="1" hidden="1" x14ac:dyDescent="0.25">
      <c r="A454" s="52" t="str">
        <f t="shared" si="52"/>
        <v xml:space="preserve"> - арендная плата </v>
      </c>
      <c r="B454" s="52" t="str">
        <f t="shared" si="52"/>
        <v>244</v>
      </c>
      <c r="C454" s="52" t="str">
        <f t="shared" si="52"/>
        <v>224</v>
      </c>
      <c r="D454" s="53" t="s">
        <v>268</v>
      </c>
      <c r="E454" s="54"/>
      <c r="F454" s="54"/>
      <c r="G454" s="54"/>
      <c r="H454" s="57"/>
      <c r="I454" s="57"/>
      <c r="J454" s="57"/>
      <c r="K454" s="56"/>
      <c r="R454" s="54"/>
      <c r="S454" s="54"/>
      <c r="T454" s="54"/>
      <c r="U454" s="54">
        <f t="shared" si="53"/>
        <v>0</v>
      </c>
      <c r="V454" s="54">
        <f t="shared" si="54"/>
        <v>0</v>
      </c>
      <c r="W454" s="54">
        <f t="shared" si="55"/>
        <v>0</v>
      </c>
    </row>
    <row r="455" spans="1:23" s="45" customFormat="1" hidden="1" x14ac:dyDescent="0.25">
      <c r="A455" s="52" t="str">
        <f t="shared" si="52"/>
        <v xml:space="preserve"> - услуги по содержанию имущества, всего:</v>
      </c>
      <c r="B455" s="52" t="str">
        <f t="shared" si="52"/>
        <v>244</v>
      </c>
      <c r="C455" s="52" t="str">
        <f t="shared" si="52"/>
        <v>225</v>
      </c>
      <c r="D455" s="104"/>
      <c r="E455" s="62">
        <f>SUM(E456:E478)</f>
        <v>0</v>
      </c>
      <c r="F455" s="62">
        <f>SUM(F456:F478)</f>
        <v>0</v>
      </c>
      <c r="G455" s="62">
        <f>SUM(G456:G478)</f>
        <v>0</v>
      </c>
      <c r="H455" s="63"/>
      <c r="I455" s="63"/>
      <c r="J455" s="63"/>
      <c r="K455" s="63"/>
      <c r="R455" s="62"/>
      <c r="S455" s="62"/>
      <c r="T455" s="62"/>
      <c r="U455" s="62">
        <f t="shared" si="53"/>
        <v>0</v>
      </c>
      <c r="V455" s="62">
        <f t="shared" si="54"/>
        <v>0</v>
      </c>
      <c r="W455" s="62">
        <f t="shared" si="55"/>
        <v>0</v>
      </c>
    </row>
    <row r="456" spans="1:23" ht="41.4" hidden="1" x14ac:dyDescent="0.25">
      <c r="A456" s="52" t="str">
        <f t="shared" si="52"/>
        <v xml:space="preserve">   в том числе:
    - тек.ремонт (отопление, водопровод, электросетей)</v>
      </c>
      <c r="B456" s="52" t="str">
        <f t="shared" si="52"/>
        <v>244</v>
      </c>
      <c r="C456" s="52" t="str">
        <f t="shared" si="52"/>
        <v>225</v>
      </c>
      <c r="D456" s="53" t="s">
        <v>268</v>
      </c>
      <c r="E456" s="54"/>
      <c r="F456" s="54"/>
      <c r="G456" s="54"/>
      <c r="H456" s="56"/>
      <c r="I456" s="56"/>
      <c r="J456" s="56"/>
      <c r="K456" s="56"/>
      <c r="R456" s="54"/>
      <c r="S456" s="54"/>
      <c r="T456" s="54"/>
      <c r="U456" s="54">
        <f t="shared" si="53"/>
        <v>0</v>
      </c>
      <c r="V456" s="54">
        <f t="shared" si="54"/>
        <v>0</v>
      </c>
      <c r="W456" s="54">
        <f t="shared" si="55"/>
        <v>0</v>
      </c>
    </row>
    <row r="457" spans="1:23" s="66" customFormat="1" hidden="1" x14ac:dyDescent="0.25">
      <c r="A457" s="52" t="str">
        <f t="shared" si="52"/>
        <v xml:space="preserve">    - очистка кровли от снега</v>
      </c>
      <c r="B457" s="52" t="str">
        <f t="shared" si="52"/>
        <v>244</v>
      </c>
      <c r="C457" s="52" t="str">
        <f t="shared" si="52"/>
        <v>225</v>
      </c>
      <c r="D457" s="53" t="s">
        <v>268</v>
      </c>
      <c r="E457" s="54"/>
      <c r="F457" s="54"/>
      <c r="G457" s="54"/>
      <c r="I457" s="67"/>
      <c r="J457" s="67"/>
      <c r="K457" s="67"/>
      <c r="R457" s="54"/>
      <c r="S457" s="54"/>
      <c r="T457" s="54"/>
      <c r="U457" s="54">
        <f t="shared" si="53"/>
        <v>0</v>
      </c>
      <c r="V457" s="54">
        <f t="shared" si="54"/>
        <v>0</v>
      </c>
      <c r="W457" s="54">
        <f t="shared" si="55"/>
        <v>0</v>
      </c>
    </row>
    <row r="458" spans="1:23" ht="27.6" hidden="1" x14ac:dyDescent="0.25">
      <c r="A458" s="52" t="str">
        <f t="shared" si="52"/>
        <v xml:space="preserve">    - текущий ремонт кровли, крыльца, заделка швов, асфальтирование территории</v>
      </c>
      <c r="B458" s="52" t="str">
        <f t="shared" si="52"/>
        <v>244</v>
      </c>
      <c r="C458" s="52" t="str">
        <f t="shared" si="52"/>
        <v>225</v>
      </c>
      <c r="D458" s="53" t="s">
        <v>268</v>
      </c>
      <c r="E458" s="54"/>
      <c r="F458" s="54"/>
      <c r="G458" s="54"/>
      <c r="H458" s="56"/>
      <c r="I458" s="56"/>
      <c r="J458" s="56"/>
      <c r="K458" s="56"/>
      <c r="R458" s="54"/>
      <c r="S458" s="54"/>
      <c r="T458" s="54"/>
      <c r="U458" s="54">
        <f t="shared" si="53"/>
        <v>0</v>
      </c>
      <c r="V458" s="54">
        <f t="shared" si="54"/>
        <v>0</v>
      </c>
      <c r="W458" s="54">
        <f t="shared" si="55"/>
        <v>0</v>
      </c>
    </row>
    <row r="459" spans="1:23" hidden="1" x14ac:dyDescent="0.25">
      <c r="A459" s="52" t="str">
        <f t="shared" si="52"/>
        <v xml:space="preserve">    - аварийно-техническое обслуживание зданий</v>
      </c>
      <c r="B459" s="52" t="str">
        <f t="shared" si="52"/>
        <v>244</v>
      </c>
      <c r="C459" s="52" t="str">
        <f t="shared" si="52"/>
        <v>225</v>
      </c>
      <c r="D459" s="53" t="s">
        <v>399</v>
      </c>
      <c r="E459" s="54">
        <f>'Приложение 4,5,6 расходы'!V291</f>
        <v>0</v>
      </c>
      <c r="F459" s="54"/>
      <c r="G459" s="54"/>
      <c r="H459" s="56"/>
      <c r="I459" s="56"/>
      <c r="J459" s="56"/>
      <c r="K459" s="56"/>
      <c r="R459" s="54"/>
      <c r="S459" s="54"/>
      <c r="T459" s="54"/>
      <c r="U459" s="54">
        <f t="shared" si="53"/>
        <v>0</v>
      </c>
      <c r="V459" s="54">
        <f t="shared" si="54"/>
        <v>0</v>
      </c>
      <c r="W459" s="54">
        <f t="shared" si="55"/>
        <v>0</v>
      </c>
    </row>
    <row r="460" spans="1:23" ht="27.6" hidden="1" x14ac:dyDescent="0.25">
      <c r="A460" s="52" t="str">
        <f t="shared" si="52"/>
        <v xml:space="preserve">    - содержание мест общего пользования (ПЖРЭТ), взносы на кап.ремонт</v>
      </c>
      <c r="B460" s="52" t="str">
        <f t="shared" si="52"/>
        <v>244</v>
      </c>
      <c r="C460" s="52" t="str">
        <f t="shared" si="52"/>
        <v>225</v>
      </c>
      <c r="D460" s="53" t="s">
        <v>399</v>
      </c>
      <c r="E460" s="54">
        <f>'Приложение 4,5,6 расходы'!V272+'Приложение 4,5,6 расходы'!V281</f>
        <v>0</v>
      </c>
      <c r="F460" s="54"/>
      <c r="G460" s="54"/>
      <c r="I460" s="56"/>
      <c r="J460" s="56"/>
      <c r="K460" s="56"/>
      <c r="R460" s="54"/>
      <c r="S460" s="54"/>
      <c r="T460" s="54"/>
      <c r="U460" s="54">
        <f t="shared" si="53"/>
        <v>0</v>
      </c>
      <c r="V460" s="54">
        <f t="shared" si="54"/>
        <v>0</v>
      </c>
      <c r="W460" s="54">
        <f t="shared" si="55"/>
        <v>0</v>
      </c>
    </row>
    <row r="461" spans="1:23" hidden="1" x14ac:dyDescent="0.25">
      <c r="A461" s="52" t="str">
        <f t="shared" ref="A461:C480" si="56">A101</f>
        <v xml:space="preserve">    - наружное освещение</v>
      </c>
      <c r="B461" s="52" t="str">
        <f t="shared" si="56"/>
        <v>244</v>
      </c>
      <c r="C461" s="52" t="str">
        <f t="shared" si="56"/>
        <v>225</v>
      </c>
      <c r="D461" s="53" t="s">
        <v>399</v>
      </c>
      <c r="E461" s="54">
        <f>'Приложение 4,5,6 расходы'!V367</f>
        <v>0</v>
      </c>
      <c r="F461" s="54"/>
      <c r="G461" s="54"/>
      <c r="I461" s="56"/>
      <c r="J461" s="56"/>
      <c r="K461" s="56"/>
      <c r="R461" s="54"/>
      <c r="S461" s="54"/>
      <c r="T461" s="54"/>
      <c r="U461" s="54">
        <f t="shared" si="53"/>
        <v>0</v>
      </c>
      <c r="V461" s="54">
        <f t="shared" si="54"/>
        <v>0</v>
      </c>
      <c r="W461" s="54">
        <f t="shared" si="55"/>
        <v>0</v>
      </c>
    </row>
    <row r="462" spans="1:23" hidden="1" x14ac:dyDescent="0.25">
      <c r="A462" s="52" t="str">
        <f t="shared" si="56"/>
        <v xml:space="preserve">    - то приборов коммерческого учета</v>
      </c>
      <c r="B462" s="52" t="str">
        <f t="shared" si="56"/>
        <v>244</v>
      </c>
      <c r="C462" s="52" t="str">
        <f t="shared" si="56"/>
        <v>225</v>
      </c>
      <c r="D462" s="53" t="s">
        <v>399</v>
      </c>
      <c r="E462" s="54">
        <f>'Приложение 4,5,6 расходы'!V314</f>
        <v>0</v>
      </c>
      <c r="F462" s="54"/>
      <c r="G462" s="54"/>
      <c r="I462" s="56"/>
      <c r="J462" s="56"/>
      <c r="K462" s="56"/>
      <c r="R462" s="54"/>
      <c r="S462" s="54"/>
      <c r="T462" s="54"/>
      <c r="U462" s="54">
        <f t="shared" si="53"/>
        <v>0</v>
      </c>
      <c r="V462" s="54">
        <f t="shared" si="54"/>
        <v>0</v>
      </c>
      <c r="W462" s="54">
        <f t="shared" si="55"/>
        <v>0</v>
      </c>
    </row>
    <row r="463" spans="1:23" hidden="1" x14ac:dyDescent="0.25">
      <c r="A463" s="52" t="str">
        <f t="shared" si="56"/>
        <v xml:space="preserve">    - дезинфекция</v>
      </c>
      <c r="B463" s="52" t="str">
        <f t="shared" si="56"/>
        <v>244</v>
      </c>
      <c r="C463" s="52" t="str">
        <f t="shared" si="56"/>
        <v>225</v>
      </c>
      <c r="D463" s="53" t="s">
        <v>399</v>
      </c>
      <c r="E463" s="54">
        <f>'Приложение 4,5,6 расходы'!V295</f>
        <v>0</v>
      </c>
      <c r="F463" s="54"/>
      <c r="G463" s="54"/>
      <c r="I463" s="56"/>
      <c r="J463" s="56"/>
      <c r="K463" s="56"/>
      <c r="R463" s="54"/>
      <c r="S463" s="54"/>
      <c r="T463" s="54"/>
      <c r="U463" s="54">
        <f t="shared" si="53"/>
        <v>0</v>
      </c>
      <c r="V463" s="54">
        <f t="shared" si="54"/>
        <v>0</v>
      </c>
      <c r="W463" s="54">
        <f t="shared" si="55"/>
        <v>0</v>
      </c>
    </row>
    <row r="464" spans="1:23" hidden="1" x14ac:dyDescent="0.25">
      <c r="A464" s="52" t="str">
        <f t="shared" si="56"/>
        <v xml:space="preserve">    - то видеонаблюдения</v>
      </c>
      <c r="B464" s="52" t="str">
        <f t="shared" si="56"/>
        <v>244</v>
      </c>
      <c r="C464" s="52" t="str">
        <f t="shared" si="56"/>
        <v>225</v>
      </c>
      <c r="D464" s="53" t="s">
        <v>399</v>
      </c>
      <c r="E464" s="54">
        <f>'Приложение 4,5,6 расходы'!V370</f>
        <v>0</v>
      </c>
      <c r="F464" s="54"/>
      <c r="G464" s="54"/>
      <c r="I464" s="56"/>
      <c r="J464" s="56"/>
      <c r="K464" s="56"/>
      <c r="R464" s="54"/>
      <c r="S464" s="54"/>
      <c r="T464" s="54"/>
      <c r="U464" s="54">
        <f t="shared" si="53"/>
        <v>0</v>
      </c>
      <c r="V464" s="54">
        <f t="shared" si="54"/>
        <v>0</v>
      </c>
      <c r="W464" s="54">
        <f t="shared" si="55"/>
        <v>0</v>
      </c>
    </row>
    <row r="465" spans="1:23" hidden="1" x14ac:dyDescent="0.25">
      <c r="A465" s="52" t="str">
        <f t="shared" si="56"/>
        <v xml:space="preserve">    - то пожарно-охранной сигнализации</v>
      </c>
      <c r="B465" s="52" t="str">
        <f t="shared" si="56"/>
        <v>244</v>
      </c>
      <c r="C465" s="52" t="str">
        <f t="shared" si="56"/>
        <v>225</v>
      </c>
      <c r="D465" s="53" t="s">
        <v>399</v>
      </c>
      <c r="E465" s="54">
        <f>'Приложение 4,5,6 расходы'!V380</f>
        <v>0</v>
      </c>
      <c r="F465" s="54"/>
      <c r="G465" s="54"/>
      <c r="I465" s="56"/>
      <c r="J465" s="56"/>
      <c r="K465" s="56"/>
      <c r="R465" s="54"/>
      <c r="S465" s="54"/>
      <c r="T465" s="54"/>
      <c r="U465" s="54">
        <f t="shared" si="53"/>
        <v>0</v>
      </c>
      <c r="V465" s="54">
        <f t="shared" si="54"/>
        <v>0</v>
      </c>
      <c r="W465" s="54">
        <f t="shared" si="55"/>
        <v>0</v>
      </c>
    </row>
    <row r="466" spans="1:23" hidden="1" x14ac:dyDescent="0.25">
      <c r="A466" s="52" t="str">
        <f t="shared" si="56"/>
        <v xml:space="preserve">    - монтаж (регулировка) дверей/окон</v>
      </c>
      <c r="B466" s="52" t="str">
        <f t="shared" si="56"/>
        <v>244</v>
      </c>
      <c r="C466" s="52" t="str">
        <f t="shared" si="56"/>
        <v>225</v>
      </c>
      <c r="D466" s="53" t="s">
        <v>399</v>
      </c>
      <c r="E466" s="54"/>
      <c r="F466" s="54"/>
      <c r="G466" s="54"/>
      <c r="I466" s="56"/>
      <c r="J466" s="56"/>
      <c r="K466" s="56"/>
      <c r="R466" s="54"/>
      <c r="S466" s="54"/>
      <c r="T466" s="54"/>
      <c r="U466" s="54">
        <f t="shared" si="53"/>
        <v>0</v>
      </c>
      <c r="V466" s="54">
        <f t="shared" si="54"/>
        <v>0</v>
      </c>
      <c r="W466" s="54">
        <f t="shared" si="55"/>
        <v>0</v>
      </c>
    </row>
    <row r="467" spans="1:23" hidden="1" x14ac:dyDescent="0.25">
      <c r="A467" s="52" t="str">
        <f t="shared" si="56"/>
        <v xml:space="preserve">    - заправка картриджей</v>
      </c>
      <c r="B467" s="52" t="str">
        <f t="shared" si="56"/>
        <v>244</v>
      </c>
      <c r="C467" s="52" t="str">
        <f t="shared" si="56"/>
        <v>225</v>
      </c>
      <c r="D467" s="53" t="s">
        <v>268</v>
      </c>
      <c r="E467" s="54"/>
      <c r="F467" s="54"/>
      <c r="G467" s="54"/>
      <c r="I467" s="56"/>
      <c r="J467" s="56"/>
      <c r="K467" s="56"/>
      <c r="R467" s="54"/>
      <c r="S467" s="54"/>
      <c r="T467" s="54"/>
      <c r="U467" s="54">
        <f t="shared" si="53"/>
        <v>0</v>
      </c>
      <c r="V467" s="54">
        <f t="shared" si="54"/>
        <v>0</v>
      </c>
      <c r="W467" s="54">
        <f t="shared" si="55"/>
        <v>0</v>
      </c>
    </row>
    <row r="468" spans="1:23" ht="14.25" hidden="1" customHeight="1" x14ac:dyDescent="0.25">
      <c r="A468" s="52" t="str">
        <f t="shared" si="56"/>
        <v xml:space="preserve">    - обслуживание кнопки тревожной сигнализации</v>
      </c>
      <c r="B468" s="52" t="str">
        <f t="shared" si="56"/>
        <v>244</v>
      </c>
      <c r="C468" s="52" t="str">
        <f t="shared" si="56"/>
        <v>225</v>
      </c>
      <c r="D468" s="53"/>
      <c r="E468" s="54">
        <f>'Приложение 4,5,6 расходы'!V310</f>
        <v>0</v>
      </c>
      <c r="F468" s="54"/>
      <c r="G468" s="54"/>
      <c r="I468" s="56"/>
      <c r="J468" s="56"/>
      <c r="K468" s="56"/>
      <c r="R468" s="54"/>
      <c r="S468" s="54"/>
      <c r="T468" s="54"/>
      <c r="U468" s="54">
        <f t="shared" si="53"/>
        <v>0</v>
      </c>
      <c r="V468" s="54">
        <f t="shared" si="54"/>
        <v>0</v>
      </c>
      <c r="W468" s="54">
        <f t="shared" si="55"/>
        <v>0</v>
      </c>
    </row>
    <row r="469" spans="1:23" ht="14.25" hidden="1" customHeight="1" x14ac:dyDescent="0.25">
      <c r="A469" s="52" t="str">
        <f t="shared" si="56"/>
        <v xml:space="preserve">    - то компьютерного оборудования</v>
      </c>
      <c r="B469" s="52" t="str">
        <f t="shared" si="56"/>
        <v>244</v>
      </c>
      <c r="C469" s="52" t="str">
        <f t="shared" si="56"/>
        <v>225</v>
      </c>
      <c r="D469" s="53"/>
      <c r="E469" s="54"/>
      <c r="F469" s="54"/>
      <c r="G469" s="54"/>
      <c r="I469" s="56"/>
      <c r="J469" s="56"/>
      <c r="K469" s="56"/>
      <c r="R469" s="54"/>
      <c r="S469" s="54"/>
      <c r="T469" s="54"/>
      <c r="U469" s="54">
        <f t="shared" si="53"/>
        <v>0</v>
      </c>
      <c r="V469" s="54">
        <f t="shared" si="54"/>
        <v>0</v>
      </c>
      <c r="W469" s="54">
        <f t="shared" si="55"/>
        <v>0</v>
      </c>
    </row>
    <row r="470" spans="1:23" ht="14.25" hidden="1" customHeight="1" x14ac:dyDescent="0.25">
      <c r="A470" s="52" t="str">
        <f t="shared" si="56"/>
        <v xml:space="preserve">    - Химчистка</v>
      </c>
      <c r="B470" s="52" t="str">
        <f t="shared" si="56"/>
        <v>244</v>
      </c>
      <c r="C470" s="52" t="str">
        <f t="shared" si="56"/>
        <v>225</v>
      </c>
      <c r="D470" s="53"/>
      <c r="E470" s="54"/>
      <c r="F470" s="54"/>
      <c r="G470" s="54"/>
      <c r="I470" s="56"/>
      <c r="J470" s="56"/>
      <c r="K470" s="56"/>
      <c r="R470" s="54"/>
      <c r="S470" s="54"/>
      <c r="T470" s="54"/>
      <c r="U470" s="54">
        <f t="shared" si="53"/>
        <v>0</v>
      </c>
      <c r="V470" s="54">
        <f t="shared" si="54"/>
        <v>0</v>
      </c>
      <c r="W470" s="54">
        <f t="shared" si="55"/>
        <v>0</v>
      </c>
    </row>
    <row r="471" spans="1:23" hidden="1" x14ac:dyDescent="0.25">
      <c r="A471" s="52" t="str">
        <f t="shared" si="56"/>
        <v xml:space="preserve">    - поверка средств имерения</v>
      </c>
      <c r="B471" s="52" t="str">
        <f t="shared" si="56"/>
        <v>244</v>
      </c>
      <c r="C471" s="52" t="str">
        <f t="shared" si="56"/>
        <v>225</v>
      </c>
      <c r="D471" s="53" t="s">
        <v>268</v>
      </c>
      <c r="E471" s="54"/>
      <c r="F471" s="54"/>
      <c r="G471" s="54"/>
      <c r="I471" s="56"/>
      <c r="J471" s="56"/>
      <c r="K471" s="56"/>
      <c r="R471" s="54"/>
      <c r="S471" s="54"/>
      <c r="T471" s="54"/>
      <c r="U471" s="54">
        <f t="shared" si="53"/>
        <v>0</v>
      </c>
      <c r="V471" s="54">
        <f t="shared" si="54"/>
        <v>0</v>
      </c>
      <c r="W471" s="54">
        <f t="shared" si="55"/>
        <v>0</v>
      </c>
    </row>
    <row r="472" spans="1:23" hidden="1" x14ac:dyDescent="0.25">
      <c r="A472" s="52" t="str">
        <f t="shared" si="56"/>
        <v xml:space="preserve">    - вывоз ТКО</v>
      </c>
      <c r="B472" s="52" t="str">
        <f t="shared" si="56"/>
        <v>244</v>
      </c>
      <c r="C472" s="52" t="str">
        <f t="shared" si="56"/>
        <v>225</v>
      </c>
      <c r="D472" s="53" t="s">
        <v>399</v>
      </c>
      <c r="E472" s="54">
        <f>'Приложение 4,5,6 расходы'!V255</f>
        <v>0</v>
      </c>
      <c r="F472" s="54"/>
      <c r="G472" s="54"/>
      <c r="I472" s="56"/>
      <c r="J472" s="56"/>
      <c r="K472" s="56"/>
      <c r="R472" s="54"/>
      <c r="S472" s="54"/>
      <c r="T472" s="54"/>
      <c r="U472" s="54">
        <f t="shared" si="53"/>
        <v>0</v>
      </c>
      <c r="V472" s="54">
        <f t="shared" si="54"/>
        <v>0</v>
      </c>
      <c r="W472" s="54">
        <f t="shared" si="55"/>
        <v>0</v>
      </c>
    </row>
    <row r="473" spans="1:23" ht="14.25" hidden="1" customHeight="1" x14ac:dyDescent="0.25">
      <c r="A473" s="52" t="str">
        <f t="shared" si="56"/>
        <v xml:space="preserve">    - текущий ремонт оборудования</v>
      </c>
      <c r="B473" s="52" t="str">
        <f t="shared" si="56"/>
        <v>244</v>
      </c>
      <c r="C473" s="52" t="str">
        <f t="shared" si="56"/>
        <v>225</v>
      </c>
      <c r="D473" s="53"/>
      <c r="E473" s="54"/>
      <c r="F473" s="54"/>
      <c r="G473" s="54"/>
      <c r="I473" s="56"/>
      <c r="J473" s="56"/>
      <c r="K473" s="56"/>
      <c r="R473" s="54"/>
      <c r="S473" s="54"/>
      <c r="T473" s="54"/>
      <c r="U473" s="54">
        <f t="shared" si="53"/>
        <v>0</v>
      </c>
      <c r="V473" s="54">
        <f t="shared" si="54"/>
        <v>0</v>
      </c>
      <c r="W473" s="54">
        <f t="shared" si="55"/>
        <v>0</v>
      </c>
    </row>
    <row r="474" spans="1:23" ht="14.25" hidden="1" customHeight="1" x14ac:dyDescent="0.25">
      <c r="A474" s="52" t="str">
        <f t="shared" si="56"/>
        <v xml:space="preserve">    - испытание диэлектрических средств защиты</v>
      </c>
      <c r="B474" s="52" t="str">
        <f t="shared" si="56"/>
        <v>244</v>
      </c>
      <c r="C474" s="52" t="str">
        <f t="shared" si="56"/>
        <v>225</v>
      </c>
      <c r="D474" s="53"/>
      <c r="E474" s="54"/>
      <c r="F474" s="54"/>
      <c r="G474" s="54"/>
      <c r="I474" s="56"/>
      <c r="J474" s="56"/>
      <c r="K474" s="56"/>
      <c r="R474" s="54"/>
      <c r="S474" s="54"/>
      <c r="T474" s="54"/>
      <c r="U474" s="54">
        <f t="shared" si="53"/>
        <v>0</v>
      </c>
      <c r="V474" s="54">
        <f t="shared" si="54"/>
        <v>0</v>
      </c>
      <c r="W474" s="54">
        <f t="shared" si="55"/>
        <v>0</v>
      </c>
    </row>
    <row r="475" spans="1:23" ht="14.25" hidden="1" customHeight="1" x14ac:dyDescent="0.25">
      <c r="A475" s="52" t="str">
        <f t="shared" si="56"/>
        <v xml:space="preserve">    - гидравлические испытания пожарных рукавов</v>
      </c>
      <c r="B475" s="52" t="str">
        <f t="shared" si="56"/>
        <v>244</v>
      </c>
      <c r="C475" s="52" t="str">
        <f t="shared" si="56"/>
        <v>225</v>
      </c>
      <c r="D475" s="53"/>
      <c r="E475" s="54"/>
      <c r="F475" s="54"/>
      <c r="G475" s="54"/>
      <c r="I475" s="56"/>
      <c r="J475" s="56"/>
      <c r="K475" s="56"/>
      <c r="R475" s="54"/>
      <c r="S475" s="54"/>
      <c r="T475" s="54"/>
      <c r="U475" s="54">
        <f t="shared" si="53"/>
        <v>0</v>
      </c>
      <c r="V475" s="54">
        <f t="shared" si="54"/>
        <v>0</v>
      </c>
      <c r="W475" s="54">
        <f t="shared" si="55"/>
        <v>0</v>
      </c>
    </row>
    <row r="476" spans="1:23" ht="14.25" hidden="1" customHeight="1" x14ac:dyDescent="0.25">
      <c r="A476" s="52" t="str">
        <f t="shared" si="56"/>
        <v xml:space="preserve">    - монтаж уличного освещения</v>
      </c>
      <c r="B476" s="52" t="str">
        <f t="shared" si="56"/>
        <v>244</v>
      </c>
      <c r="C476" s="52" t="str">
        <f t="shared" si="56"/>
        <v>225</v>
      </c>
      <c r="D476" s="53"/>
      <c r="E476" s="54"/>
      <c r="F476" s="54"/>
      <c r="G476" s="54"/>
      <c r="I476" s="56"/>
      <c r="J476" s="56"/>
      <c r="K476" s="56"/>
      <c r="R476" s="54"/>
      <c r="S476" s="54"/>
      <c r="T476" s="54"/>
      <c r="U476" s="54">
        <f t="shared" si="53"/>
        <v>0</v>
      </c>
      <c r="V476" s="54">
        <f t="shared" si="54"/>
        <v>0</v>
      </c>
      <c r="W476" s="54">
        <f t="shared" si="55"/>
        <v>0</v>
      </c>
    </row>
    <row r="477" spans="1:23" ht="14.25" hidden="1" customHeight="1" x14ac:dyDescent="0.25">
      <c r="A477" s="52" t="str">
        <f t="shared" si="56"/>
        <v xml:space="preserve">    - противоклещевая обработка</v>
      </c>
      <c r="B477" s="52" t="str">
        <f t="shared" si="56"/>
        <v>244</v>
      </c>
      <c r="C477" s="52" t="str">
        <f t="shared" si="56"/>
        <v>225</v>
      </c>
      <c r="D477" s="53"/>
      <c r="E477" s="54"/>
      <c r="F477" s="54"/>
      <c r="G477" s="54"/>
      <c r="I477" s="56"/>
      <c r="J477" s="56"/>
      <c r="K477" s="56"/>
      <c r="R477" s="54"/>
      <c r="S477" s="54"/>
      <c r="T477" s="54"/>
      <c r="U477" s="54">
        <f t="shared" si="53"/>
        <v>0</v>
      </c>
      <c r="V477" s="54">
        <f t="shared" si="54"/>
        <v>0</v>
      </c>
      <c r="W477" s="54">
        <f t="shared" si="55"/>
        <v>0</v>
      </c>
    </row>
    <row r="478" spans="1:23" hidden="1" x14ac:dyDescent="0.25">
      <c r="A478" s="52" t="str">
        <f t="shared" si="56"/>
        <v xml:space="preserve">    - сервисное обслуживание приборов тепла</v>
      </c>
      <c r="B478" s="52" t="str">
        <f t="shared" si="56"/>
        <v>244</v>
      </c>
      <c r="C478" s="52" t="str">
        <f t="shared" si="56"/>
        <v>225</v>
      </c>
      <c r="D478" s="53" t="s">
        <v>399</v>
      </c>
      <c r="E478" s="54">
        <f>'Приложение 4,5,6 расходы'!V376</f>
        <v>0</v>
      </c>
      <c r="F478" s="54"/>
      <c r="G478" s="54"/>
      <c r="I478" s="56"/>
      <c r="J478" s="56"/>
      <c r="K478" s="56"/>
      <c r="R478" s="54"/>
      <c r="S478" s="54"/>
      <c r="T478" s="54"/>
      <c r="U478" s="54">
        <f t="shared" ref="U478:U502" si="57">E478-R478</f>
        <v>0</v>
      </c>
      <c r="V478" s="54">
        <f t="shared" ref="V478:V502" si="58">F478-S478</f>
        <v>0</v>
      </c>
      <c r="W478" s="54">
        <f t="shared" ref="W478:W502" si="59">G478-T478</f>
        <v>0</v>
      </c>
    </row>
    <row r="479" spans="1:23" s="45" customFormat="1" hidden="1" x14ac:dyDescent="0.25">
      <c r="A479" s="52" t="str">
        <f t="shared" si="56"/>
        <v xml:space="preserve"> - прочие работы, услуги, всего:</v>
      </c>
      <c r="B479" s="52" t="str">
        <f t="shared" si="56"/>
        <v>244</v>
      </c>
      <c r="C479" s="52" t="str">
        <f t="shared" si="56"/>
        <v>226</v>
      </c>
      <c r="D479" s="53" t="s">
        <v>399</v>
      </c>
      <c r="E479" s="62">
        <f>SUM(E480:E495)</f>
        <v>0</v>
      </c>
      <c r="F479" s="62">
        <f>SUM(F480:F495)</f>
        <v>0</v>
      </c>
      <c r="G479" s="62">
        <f>SUM(G480:G495)</f>
        <v>0</v>
      </c>
      <c r="H479" s="63"/>
      <c r="I479" s="63"/>
      <c r="J479" s="63"/>
      <c r="K479" s="63"/>
      <c r="R479" s="62"/>
      <c r="S479" s="62"/>
      <c r="T479" s="62"/>
      <c r="U479" s="62">
        <f t="shared" si="57"/>
        <v>0</v>
      </c>
      <c r="V479" s="62">
        <f t="shared" si="58"/>
        <v>0</v>
      </c>
      <c r="W479" s="62">
        <f t="shared" si="59"/>
        <v>0</v>
      </c>
    </row>
    <row r="480" spans="1:23" s="58" customFormat="1" hidden="1" x14ac:dyDescent="0.25">
      <c r="A480" s="52" t="str">
        <f t="shared" si="56"/>
        <v xml:space="preserve">    - специальная оценка условий труда</v>
      </c>
      <c r="B480" s="52" t="str">
        <f t="shared" si="56"/>
        <v>244</v>
      </c>
      <c r="C480" s="52" t="str">
        <f t="shared" si="56"/>
        <v>226</v>
      </c>
      <c r="D480" s="53" t="s">
        <v>268</v>
      </c>
      <c r="E480" s="54"/>
      <c r="F480" s="54"/>
      <c r="G480" s="54"/>
      <c r="H480" s="49"/>
      <c r="I480" s="56"/>
      <c r="J480" s="57"/>
      <c r="K480" s="57"/>
      <c r="R480" s="54"/>
      <c r="S480" s="54"/>
      <c r="T480" s="54"/>
      <c r="U480" s="54">
        <f t="shared" si="57"/>
        <v>0</v>
      </c>
      <c r="V480" s="54">
        <f t="shared" si="58"/>
        <v>0</v>
      </c>
      <c r="W480" s="54">
        <f t="shared" si="59"/>
        <v>0</v>
      </c>
    </row>
    <row r="481" spans="1:23" s="58" customFormat="1" ht="27.6" hidden="1" x14ac:dyDescent="0.25">
      <c r="A481" s="52" t="str">
        <f t="shared" ref="A481:C500" si="60">A121</f>
        <v xml:space="preserve">    - услуги автотранспорта (доставка строительных материалов, вывоз веток и пр.)</v>
      </c>
      <c r="B481" s="52" t="str">
        <f t="shared" si="60"/>
        <v>244</v>
      </c>
      <c r="C481" s="52" t="str">
        <f t="shared" si="60"/>
        <v>226</v>
      </c>
      <c r="D481" s="53" t="s">
        <v>268</v>
      </c>
      <c r="E481" s="54"/>
      <c r="F481" s="54"/>
      <c r="G481" s="54"/>
      <c r="H481" s="49"/>
      <c r="I481" s="56"/>
      <c r="J481" s="57"/>
      <c r="K481" s="57"/>
      <c r="R481" s="54"/>
      <c r="S481" s="54"/>
      <c r="T481" s="54"/>
      <c r="U481" s="54">
        <f t="shared" si="57"/>
        <v>0</v>
      </c>
      <c r="V481" s="54">
        <f t="shared" si="58"/>
        <v>0</v>
      </c>
      <c r="W481" s="54">
        <f t="shared" si="59"/>
        <v>0</v>
      </c>
    </row>
    <row r="482" spans="1:23" s="58" customFormat="1" hidden="1" x14ac:dyDescent="0.25">
      <c r="A482" s="52" t="str">
        <f t="shared" si="60"/>
        <v xml:space="preserve">    - ПО (СБИС)</v>
      </c>
      <c r="B482" s="52" t="str">
        <f t="shared" si="60"/>
        <v>244</v>
      </c>
      <c r="C482" s="52" t="str">
        <f t="shared" si="60"/>
        <v>226</v>
      </c>
      <c r="D482" s="53" t="s">
        <v>268</v>
      </c>
      <c r="E482" s="54"/>
      <c r="F482" s="54"/>
      <c r="G482" s="54"/>
      <c r="H482" s="49"/>
      <c r="I482" s="56"/>
      <c r="J482" s="57"/>
      <c r="K482" s="57"/>
      <c r="R482" s="54"/>
      <c r="S482" s="54"/>
      <c r="T482" s="54"/>
      <c r="U482" s="54">
        <f t="shared" si="57"/>
        <v>0</v>
      </c>
      <c r="V482" s="54">
        <f t="shared" si="58"/>
        <v>0</v>
      </c>
      <c r="W482" s="54">
        <f t="shared" si="59"/>
        <v>0</v>
      </c>
    </row>
    <row r="483" spans="1:23" s="58" customFormat="1" hidden="1" x14ac:dyDescent="0.25">
      <c r="A483" s="52" t="str">
        <f t="shared" si="60"/>
        <v xml:space="preserve">    - организация питания</v>
      </c>
      <c r="B483" s="52" t="str">
        <f t="shared" si="60"/>
        <v>244</v>
      </c>
      <c r="C483" s="52" t="str">
        <f t="shared" si="60"/>
        <v>226</v>
      </c>
      <c r="D483" s="53" t="s">
        <v>268</v>
      </c>
      <c r="E483" s="54"/>
      <c r="F483" s="54"/>
      <c r="G483" s="54"/>
      <c r="H483" s="49"/>
      <c r="I483" s="56"/>
      <c r="J483" s="57"/>
      <c r="K483" s="57"/>
      <c r="R483" s="54"/>
      <c r="S483" s="54"/>
      <c r="T483" s="54"/>
      <c r="U483" s="54">
        <f t="shared" si="57"/>
        <v>0</v>
      </c>
      <c r="V483" s="54">
        <f t="shared" si="58"/>
        <v>0</v>
      </c>
      <c r="W483" s="54">
        <f t="shared" si="59"/>
        <v>0</v>
      </c>
    </row>
    <row r="484" spans="1:23" s="58" customFormat="1" ht="27.6" hidden="1" x14ac:dyDescent="0.25">
      <c r="A484" s="52" t="str">
        <f t="shared" si="60"/>
        <v xml:space="preserve">    - расчет проектно-сметной документации (ремонт крыльца, речевое оповещение)</v>
      </c>
      <c r="B484" s="52" t="str">
        <f t="shared" si="60"/>
        <v>244</v>
      </c>
      <c r="C484" s="52" t="str">
        <f t="shared" si="60"/>
        <v>226</v>
      </c>
      <c r="D484" s="53" t="s">
        <v>268</v>
      </c>
      <c r="E484" s="54"/>
      <c r="F484" s="54"/>
      <c r="G484" s="54"/>
      <c r="H484" s="49"/>
      <c r="I484" s="56"/>
      <c r="J484" s="57"/>
      <c r="K484" s="57"/>
      <c r="R484" s="54"/>
      <c r="S484" s="54"/>
      <c r="T484" s="54"/>
      <c r="U484" s="54">
        <f t="shared" si="57"/>
        <v>0</v>
      </c>
      <c r="V484" s="54">
        <f t="shared" si="58"/>
        <v>0</v>
      </c>
      <c r="W484" s="54">
        <f t="shared" si="59"/>
        <v>0</v>
      </c>
    </row>
    <row r="485" spans="1:23" s="58" customFormat="1" hidden="1" x14ac:dyDescent="0.25">
      <c r="A485" s="52" t="str">
        <f t="shared" si="60"/>
        <v xml:space="preserve">    - оплата услуг бухгалтерии</v>
      </c>
      <c r="B485" s="52" t="str">
        <f t="shared" si="60"/>
        <v>244</v>
      </c>
      <c r="C485" s="52" t="str">
        <f t="shared" si="60"/>
        <v>226</v>
      </c>
      <c r="D485" s="53" t="s">
        <v>268</v>
      </c>
      <c r="E485" s="54"/>
      <c r="F485" s="54"/>
      <c r="G485" s="54"/>
      <c r="H485" s="49"/>
      <c r="I485" s="56"/>
      <c r="J485" s="57"/>
      <c r="K485" s="57"/>
      <c r="R485" s="54"/>
      <c r="S485" s="54"/>
      <c r="T485" s="54"/>
      <c r="U485" s="54">
        <f t="shared" si="57"/>
        <v>0</v>
      </c>
      <c r="V485" s="54">
        <f t="shared" si="58"/>
        <v>0</v>
      </c>
      <c r="W485" s="54">
        <f t="shared" si="59"/>
        <v>0</v>
      </c>
    </row>
    <row r="486" spans="1:23" s="58" customFormat="1" hidden="1" x14ac:dyDescent="0.25">
      <c r="A486" s="52" t="str">
        <f t="shared" si="60"/>
        <v xml:space="preserve">    - услуги банка</v>
      </c>
      <c r="B486" s="52" t="str">
        <f t="shared" si="60"/>
        <v>244</v>
      </c>
      <c r="C486" s="52" t="str">
        <f t="shared" si="60"/>
        <v>226</v>
      </c>
      <c r="D486" s="53" t="s">
        <v>268</v>
      </c>
      <c r="E486" s="54"/>
      <c r="F486" s="54"/>
      <c r="G486" s="54"/>
      <c r="H486" s="49"/>
      <c r="I486" s="56"/>
      <c r="J486" s="57"/>
      <c r="K486" s="57"/>
      <c r="R486" s="54"/>
      <c r="S486" s="54"/>
      <c r="T486" s="54"/>
      <c r="U486" s="54">
        <f t="shared" si="57"/>
        <v>0</v>
      </c>
      <c r="V486" s="54">
        <f t="shared" si="58"/>
        <v>0</v>
      </c>
      <c r="W486" s="54">
        <f t="shared" si="59"/>
        <v>0</v>
      </c>
    </row>
    <row r="487" spans="1:23" s="58" customFormat="1" hidden="1" x14ac:dyDescent="0.25">
      <c r="A487" s="52" t="str">
        <f t="shared" si="60"/>
        <v xml:space="preserve">    - обслуживание компьютерных программ</v>
      </c>
      <c r="B487" s="52" t="str">
        <f t="shared" si="60"/>
        <v>244</v>
      </c>
      <c r="C487" s="52" t="str">
        <f t="shared" si="60"/>
        <v>226</v>
      </c>
      <c r="D487" s="53" t="s">
        <v>268</v>
      </c>
      <c r="E487" s="54"/>
      <c r="F487" s="54"/>
      <c r="G487" s="54"/>
      <c r="H487" s="49"/>
      <c r="I487" s="56"/>
      <c r="J487" s="57"/>
      <c r="K487" s="57"/>
      <c r="R487" s="54"/>
      <c r="S487" s="54"/>
      <c r="T487" s="54"/>
      <c r="U487" s="54">
        <f t="shared" si="57"/>
        <v>0</v>
      </c>
      <c r="V487" s="54">
        <f t="shared" si="58"/>
        <v>0</v>
      </c>
      <c r="W487" s="54">
        <f t="shared" si="59"/>
        <v>0</v>
      </c>
    </row>
    <row r="488" spans="1:23" hidden="1" x14ac:dyDescent="0.25">
      <c r="A488" s="52" t="str">
        <f t="shared" si="60"/>
        <v xml:space="preserve">    - установка сигнализации</v>
      </c>
      <c r="B488" s="52" t="str">
        <f t="shared" si="60"/>
        <v>244</v>
      </c>
      <c r="C488" s="52" t="str">
        <f t="shared" si="60"/>
        <v>226</v>
      </c>
      <c r="D488" s="53" t="s">
        <v>268</v>
      </c>
      <c r="E488" s="54"/>
      <c r="F488" s="54"/>
      <c r="G488" s="54"/>
      <c r="I488" s="56"/>
      <c r="J488" s="56"/>
      <c r="K488" s="56"/>
      <c r="R488" s="54"/>
      <c r="S488" s="54"/>
      <c r="T488" s="54"/>
      <c r="U488" s="54">
        <f t="shared" si="57"/>
        <v>0</v>
      </c>
      <c r="V488" s="54">
        <f t="shared" si="58"/>
        <v>0</v>
      </c>
      <c r="W488" s="54">
        <f t="shared" si="59"/>
        <v>0</v>
      </c>
    </row>
    <row r="489" spans="1:23" hidden="1" x14ac:dyDescent="0.25">
      <c r="A489" s="52" t="str">
        <f t="shared" si="60"/>
        <v xml:space="preserve">    - оказание консалтинговых услуг</v>
      </c>
      <c r="B489" s="52" t="str">
        <f t="shared" si="60"/>
        <v>244</v>
      </c>
      <c r="C489" s="52" t="str">
        <f t="shared" si="60"/>
        <v>226</v>
      </c>
      <c r="D489" s="53" t="s">
        <v>268</v>
      </c>
      <c r="E489" s="54"/>
      <c r="F489" s="54"/>
      <c r="G489" s="54"/>
      <c r="I489" s="56"/>
      <c r="J489" s="56"/>
      <c r="K489" s="56"/>
      <c r="R489" s="54"/>
      <c r="S489" s="54"/>
      <c r="T489" s="54"/>
      <c r="U489" s="54">
        <f t="shared" si="57"/>
        <v>0</v>
      </c>
      <c r="V489" s="54">
        <f t="shared" si="58"/>
        <v>0</v>
      </c>
      <c r="W489" s="54">
        <f t="shared" si="59"/>
        <v>0</v>
      </c>
    </row>
    <row r="490" spans="1:23" ht="27.6" hidden="1" x14ac:dyDescent="0.25">
      <c r="A490" s="52" t="str">
        <f t="shared" si="60"/>
        <v xml:space="preserve">    - монтаж решетчатой металлической двери в тепловом узле</v>
      </c>
      <c r="B490" s="52" t="str">
        <f t="shared" si="60"/>
        <v>244</v>
      </c>
      <c r="C490" s="52" t="str">
        <f t="shared" si="60"/>
        <v>226</v>
      </c>
      <c r="D490" s="53" t="s">
        <v>268</v>
      </c>
      <c r="E490" s="54"/>
      <c r="F490" s="54"/>
      <c r="G490" s="54"/>
      <c r="I490" s="56"/>
      <c r="J490" s="56"/>
      <c r="K490" s="56"/>
      <c r="R490" s="54"/>
      <c r="S490" s="54"/>
      <c r="T490" s="54"/>
      <c r="U490" s="54">
        <f t="shared" si="57"/>
        <v>0</v>
      </c>
      <c r="V490" s="54">
        <f t="shared" si="58"/>
        <v>0</v>
      </c>
      <c r="W490" s="54">
        <f t="shared" si="59"/>
        <v>0</v>
      </c>
    </row>
    <row r="491" spans="1:23" hidden="1" x14ac:dyDescent="0.25">
      <c r="A491" s="52" t="str">
        <f t="shared" si="60"/>
        <v xml:space="preserve">    - мониторинг охранно-пожарной сигнализации</v>
      </c>
      <c r="B491" s="52" t="str">
        <f t="shared" si="60"/>
        <v>244</v>
      </c>
      <c r="C491" s="52" t="str">
        <f t="shared" si="60"/>
        <v>226</v>
      </c>
      <c r="D491" s="53" t="s">
        <v>268</v>
      </c>
      <c r="E491" s="54">
        <f>'Приложение 4,5,6 расходы'!V435</f>
        <v>0</v>
      </c>
      <c r="F491" s="54"/>
      <c r="G491" s="54"/>
      <c r="I491" s="56"/>
      <c r="J491" s="56"/>
      <c r="K491" s="56"/>
      <c r="R491" s="54"/>
      <c r="S491" s="54"/>
      <c r="T491" s="54"/>
      <c r="U491" s="54">
        <f t="shared" si="57"/>
        <v>0</v>
      </c>
      <c r="V491" s="54">
        <f t="shared" si="58"/>
        <v>0</v>
      </c>
      <c r="W491" s="54">
        <f t="shared" si="59"/>
        <v>0</v>
      </c>
    </row>
    <row r="492" spans="1:23" hidden="1" x14ac:dyDescent="0.25">
      <c r="A492" s="52" t="str">
        <f t="shared" si="60"/>
        <v xml:space="preserve">    - переплет документов</v>
      </c>
      <c r="B492" s="52" t="str">
        <f t="shared" si="60"/>
        <v>244</v>
      </c>
      <c r="C492" s="52" t="str">
        <f t="shared" si="60"/>
        <v>226</v>
      </c>
      <c r="D492" s="53" t="s">
        <v>268</v>
      </c>
      <c r="E492" s="54"/>
      <c r="F492" s="54"/>
      <c r="G492" s="54"/>
      <c r="I492" s="56"/>
      <c r="J492" s="56"/>
      <c r="K492" s="56"/>
      <c r="R492" s="54"/>
      <c r="S492" s="54"/>
      <c r="T492" s="54"/>
      <c r="U492" s="54">
        <f t="shared" si="57"/>
        <v>0</v>
      </c>
      <c r="V492" s="54">
        <f t="shared" si="58"/>
        <v>0</v>
      </c>
      <c r="W492" s="54">
        <f t="shared" si="59"/>
        <v>0</v>
      </c>
    </row>
    <row r="493" spans="1:23" hidden="1" x14ac:dyDescent="0.25">
      <c r="A493" s="52" t="str">
        <f t="shared" si="60"/>
        <v xml:space="preserve">    - вневедомственная охрана</v>
      </c>
      <c r="B493" s="52" t="str">
        <f t="shared" si="60"/>
        <v>244</v>
      </c>
      <c r="C493" s="52" t="str">
        <f t="shared" si="60"/>
        <v>226</v>
      </c>
      <c r="D493" s="53" t="s">
        <v>399</v>
      </c>
      <c r="E493" s="54">
        <f>'Приложение 4,5,6 расходы'!V444</f>
        <v>0</v>
      </c>
      <c r="F493" s="54"/>
      <c r="G493" s="54"/>
      <c r="I493" s="56"/>
      <c r="J493" s="56"/>
      <c r="K493" s="56"/>
      <c r="R493" s="54"/>
      <c r="S493" s="54"/>
      <c r="T493" s="54"/>
      <c r="U493" s="54">
        <f t="shared" si="57"/>
        <v>0</v>
      </c>
      <c r="V493" s="54">
        <f t="shared" si="58"/>
        <v>0</v>
      </c>
      <c r="W493" s="54">
        <f t="shared" si="59"/>
        <v>0</v>
      </c>
    </row>
    <row r="494" spans="1:23" hidden="1" x14ac:dyDescent="0.25">
      <c r="A494" s="52" t="str">
        <f t="shared" si="60"/>
        <v xml:space="preserve">    - лицензированная охрана</v>
      </c>
      <c r="B494" s="52" t="str">
        <f t="shared" si="60"/>
        <v>244</v>
      </c>
      <c r="C494" s="52" t="str">
        <f t="shared" si="60"/>
        <v>226</v>
      </c>
      <c r="D494" s="53" t="s">
        <v>399</v>
      </c>
      <c r="E494" s="54">
        <f>'Приложение 4,5,6 расходы'!V448</f>
        <v>0</v>
      </c>
      <c r="F494" s="54"/>
      <c r="G494" s="54"/>
      <c r="I494" s="56"/>
      <c r="J494" s="56"/>
      <c r="K494" s="56"/>
      <c r="R494" s="54"/>
      <c r="S494" s="54"/>
      <c r="T494" s="54"/>
      <c r="U494" s="54">
        <f t="shared" si="57"/>
        <v>0</v>
      </c>
      <c r="V494" s="54">
        <f t="shared" si="58"/>
        <v>0</v>
      </c>
      <c r="W494" s="54">
        <f t="shared" si="59"/>
        <v>0</v>
      </c>
    </row>
    <row r="495" spans="1:23" hidden="1" x14ac:dyDescent="0.25">
      <c r="A495" s="52" t="str">
        <f t="shared" si="60"/>
        <v xml:space="preserve">    - курсы повышения квалификации</v>
      </c>
      <c r="B495" s="52" t="str">
        <f t="shared" si="60"/>
        <v>244</v>
      </c>
      <c r="C495" s="52" t="str">
        <f t="shared" si="60"/>
        <v>226</v>
      </c>
      <c r="D495" s="53"/>
      <c r="E495" s="54"/>
      <c r="F495" s="54"/>
      <c r="G495" s="54"/>
      <c r="I495" s="56"/>
      <c r="R495" s="54"/>
      <c r="S495" s="54"/>
      <c r="T495" s="54"/>
      <c r="U495" s="54">
        <f t="shared" si="57"/>
        <v>0</v>
      </c>
      <c r="V495" s="54">
        <f t="shared" si="58"/>
        <v>0</v>
      </c>
      <c r="W495" s="54">
        <f t="shared" si="59"/>
        <v>0</v>
      </c>
    </row>
    <row r="496" spans="1:23" hidden="1" x14ac:dyDescent="0.25">
      <c r="A496" s="52" t="str">
        <f t="shared" si="60"/>
        <v xml:space="preserve">    - монтаж охранно-пожарной сигнализации</v>
      </c>
      <c r="B496" s="52" t="str">
        <f t="shared" si="60"/>
        <v>244</v>
      </c>
      <c r="C496" s="52" t="str">
        <f t="shared" si="60"/>
        <v>228</v>
      </c>
      <c r="D496" s="53" t="s">
        <v>268</v>
      </c>
      <c r="E496" s="54"/>
      <c r="F496" s="54"/>
      <c r="G496" s="54"/>
      <c r="I496" s="56"/>
      <c r="R496" s="54"/>
      <c r="S496" s="54"/>
      <c r="T496" s="54"/>
      <c r="U496" s="54">
        <f t="shared" si="57"/>
        <v>0</v>
      </c>
      <c r="V496" s="54">
        <f t="shared" si="58"/>
        <v>0</v>
      </c>
      <c r="W496" s="54">
        <f t="shared" si="59"/>
        <v>0</v>
      </c>
    </row>
    <row r="497" spans="1:23" ht="27.6" hidden="1" x14ac:dyDescent="0.25">
      <c r="A497" s="52" t="str">
        <f t="shared" si="60"/>
        <v xml:space="preserve"> - выплаты ув.сотрудникам и их родственникам (3 дн.б/л, МП)</v>
      </c>
      <c r="B497" s="52" t="str">
        <f t="shared" si="60"/>
        <v>321</v>
      </c>
      <c r="C497" s="52" t="str">
        <f t="shared" si="60"/>
        <v>264</v>
      </c>
      <c r="D497" s="60" t="s">
        <v>37</v>
      </c>
      <c r="E497" s="54"/>
      <c r="F497" s="54"/>
      <c r="G497" s="54"/>
      <c r="I497" s="56"/>
      <c r="R497" s="54"/>
      <c r="S497" s="54"/>
      <c r="T497" s="54"/>
      <c r="U497" s="54">
        <f t="shared" si="57"/>
        <v>0</v>
      </c>
      <c r="V497" s="54">
        <f t="shared" si="58"/>
        <v>0</v>
      </c>
      <c r="W497" s="54">
        <f t="shared" si="59"/>
        <v>0</v>
      </c>
    </row>
    <row r="498" spans="1:23" hidden="1" x14ac:dyDescent="0.25">
      <c r="A498" s="52" t="str">
        <f t="shared" si="60"/>
        <v xml:space="preserve"> - выплата МП неработающим пенсионерам</v>
      </c>
      <c r="B498" s="52" t="str">
        <f t="shared" si="60"/>
        <v>321</v>
      </c>
      <c r="C498" s="52" t="str">
        <f t="shared" si="60"/>
        <v>296</v>
      </c>
      <c r="D498" s="60" t="s">
        <v>37</v>
      </c>
      <c r="E498" s="54"/>
      <c r="F498" s="54"/>
      <c r="G498" s="54"/>
      <c r="I498" s="56"/>
      <c r="R498" s="54"/>
      <c r="S498" s="54"/>
      <c r="T498" s="54"/>
      <c r="U498" s="54">
        <f t="shared" si="57"/>
        <v>0</v>
      </c>
      <c r="V498" s="54">
        <f t="shared" si="58"/>
        <v>0</v>
      </c>
      <c r="W498" s="54">
        <f t="shared" si="59"/>
        <v>0</v>
      </c>
    </row>
    <row r="499" spans="1:23" s="58" customFormat="1" hidden="1" x14ac:dyDescent="0.25">
      <c r="A499" s="52" t="str">
        <f t="shared" si="60"/>
        <v xml:space="preserve"> - прочие налоги и сборы</v>
      </c>
      <c r="B499" s="52" t="str">
        <f t="shared" si="60"/>
        <v>852</v>
      </c>
      <c r="C499" s="52" t="str">
        <f t="shared" si="60"/>
        <v>291</v>
      </c>
      <c r="D499" s="53" t="s">
        <v>37</v>
      </c>
      <c r="E499" s="54"/>
      <c r="F499" s="54"/>
      <c r="G499" s="54"/>
      <c r="H499" s="57"/>
      <c r="I499" s="57"/>
      <c r="R499" s="54"/>
      <c r="S499" s="54"/>
      <c r="T499" s="54"/>
      <c r="U499" s="54">
        <f t="shared" si="57"/>
        <v>0</v>
      </c>
      <c r="V499" s="54">
        <f t="shared" si="58"/>
        <v>0</v>
      </c>
      <c r="W499" s="54">
        <f t="shared" si="59"/>
        <v>0</v>
      </c>
    </row>
    <row r="500" spans="1:23" s="58" customFormat="1" ht="41.4" hidden="1" x14ac:dyDescent="0.25">
      <c r="A500" s="52" t="str">
        <f t="shared" si="60"/>
        <v xml:space="preserve"> - пеня</v>
      </c>
      <c r="B500" s="52" t="str">
        <f t="shared" si="60"/>
        <v>853</v>
      </c>
      <c r="C500" s="52" t="str">
        <f t="shared" si="60"/>
        <v>292,
295,
293</v>
      </c>
      <c r="D500" s="53" t="s">
        <v>37</v>
      </c>
      <c r="E500" s="54"/>
      <c r="F500" s="54"/>
      <c r="G500" s="54"/>
      <c r="I500" s="57"/>
      <c r="R500" s="54"/>
      <c r="S500" s="54"/>
      <c r="T500" s="54"/>
      <c r="U500" s="54">
        <f t="shared" si="57"/>
        <v>0</v>
      </c>
      <c r="V500" s="54">
        <f t="shared" si="58"/>
        <v>0</v>
      </c>
      <c r="W500" s="54">
        <f t="shared" si="59"/>
        <v>0</v>
      </c>
    </row>
    <row r="501" spans="1:23" hidden="1" x14ac:dyDescent="0.25">
      <c r="A501" s="52" t="str">
        <f t="shared" ref="A501:C520" si="61">A141</f>
        <v xml:space="preserve"> - налог на имущество</v>
      </c>
      <c r="B501" s="52" t="str">
        <f t="shared" si="61"/>
        <v>851</v>
      </c>
      <c r="C501" s="52" t="str">
        <f t="shared" si="61"/>
        <v>291</v>
      </c>
      <c r="D501" s="53" t="s">
        <v>37</v>
      </c>
      <c r="E501" s="54"/>
      <c r="F501" s="54"/>
      <c r="G501" s="54"/>
      <c r="H501" s="56"/>
      <c r="I501" s="56"/>
      <c r="R501" s="54"/>
      <c r="S501" s="54"/>
      <c r="T501" s="54"/>
      <c r="U501" s="54">
        <f t="shared" si="57"/>
        <v>0</v>
      </c>
      <c r="V501" s="54">
        <f t="shared" si="58"/>
        <v>0</v>
      </c>
      <c r="W501" s="54">
        <f t="shared" si="59"/>
        <v>0</v>
      </c>
    </row>
    <row r="502" spans="1:23" ht="27.6" hidden="1" x14ac:dyDescent="0.25">
      <c r="A502" s="52" t="str">
        <f t="shared" si="61"/>
        <v xml:space="preserve"> - компенсация расходов (морального вреда) по решению суда</v>
      </c>
      <c r="B502" s="52" t="str">
        <f t="shared" si="61"/>
        <v>831</v>
      </c>
      <c r="C502" s="52" t="str">
        <f t="shared" si="61"/>
        <v>296</v>
      </c>
      <c r="D502" s="53" t="s">
        <v>37</v>
      </c>
      <c r="E502" s="54"/>
      <c r="F502" s="54"/>
      <c r="G502" s="54"/>
      <c r="H502" s="56"/>
      <c r="I502" s="56"/>
      <c r="R502" s="54"/>
      <c r="S502" s="54"/>
      <c r="T502" s="54"/>
      <c r="U502" s="54">
        <f t="shared" si="57"/>
        <v>0</v>
      </c>
      <c r="V502" s="54">
        <f t="shared" si="58"/>
        <v>0</v>
      </c>
      <c r="W502" s="54">
        <f t="shared" si="59"/>
        <v>0</v>
      </c>
    </row>
    <row r="503" spans="1:23" ht="27.6" hidden="1" x14ac:dyDescent="0.25">
      <c r="A503" s="52" t="str">
        <f t="shared" si="61"/>
        <v xml:space="preserve"> - разработка проектно-сметной документации на капитальный ремонт крыши</v>
      </c>
      <c r="B503" s="52" t="str">
        <f t="shared" si="61"/>
        <v>243</v>
      </c>
      <c r="C503" s="52" t="str">
        <f t="shared" si="61"/>
        <v>226</v>
      </c>
      <c r="D503" s="53"/>
      <c r="E503" s="54"/>
      <c r="F503" s="54"/>
      <c r="G503" s="54"/>
      <c r="H503" s="56"/>
      <c r="I503" s="56"/>
      <c r="R503" s="54"/>
      <c r="S503" s="54"/>
      <c r="T503" s="54"/>
      <c r="U503" s="54"/>
      <c r="V503" s="54"/>
      <c r="W503" s="54"/>
    </row>
    <row r="504" spans="1:23" s="118" customFormat="1" hidden="1" x14ac:dyDescent="0.25">
      <c r="A504" s="115" t="str">
        <f t="shared" si="61"/>
        <v xml:space="preserve"> - увеличение стоимости основных средств</v>
      </c>
      <c r="B504" s="115" t="str">
        <f t="shared" si="61"/>
        <v>244</v>
      </c>
      <c r="C504" s="115" t="str">
        <f t="shared" si="61"/>
        <v>310</v>
      </c>
      <c r="D504" s="60"/>
      <c r="E504" s="61">
        <f>SUM(E505:E513)</f>
        <v>0</v>
      </c>
      <c r="F504" s="61">
        <f>SUM(F505:F513)</f>
        <v>0</v>
      </c>
      <c r="G504" s="61">
        <f>SUM(G505:G513)</f>
        <v>0</v>
      </c>
      <c r="H504" s="117"/>
      <c r="I504" s="117"/>
      <c r="R504" s="61"/>
      <c r="S504" s="61"/>
      <c r="T504" s="61"/>
      <c r="U504" s="61">
        <f t="shared" ref="U504:U535" si="62">E504-R504</f>
        <v>0</v>
      </c>
      <c r="V504" s="61">
        <f t="shared" ref="V504:V535" si="63">F504-S504</f>
        <v>0</v>
      </c>
      <c r="W504" s="61">
        <f t="shared" ref="W504:W535" si="64">G504-T504</f>
        <v>0</v>
      </c>
    </row>
    <row r="505" spans="1:23" s="118" customFormat="1" hidden="1" x14ac:dyDescent="0.25">
      <c r="A505" s="64" t="str">
        <f t="shared" si="61"/>
        <v xml:space="preserve"> - компьютерная техника</v>
      </c>
      <c r="B505" s="64" t="str">
        <f t="shared" si="61"/>
        <v>244</v>
      </c>
      <c r="C505" s="64" t="str">
        <f t="shared" si="61"/>
        <v>310</v>
      </c>
      <c r="D505" s="119"/>
      <c r="E505" s="120"/>
      <c r="F505" s="120"/>
      <c r="G505" s="120"/>
      <c r="H505" s="117"/>
      <c r="I505" s="117"/>
      <c r="R505" s="120"/>
      <c r="S505" s="120"/>
      <c r="T505" s="120"/>
      <c r="U505" s="120">
        <f t="shared" si="62"/>
        <v>0</v>
      </c>
      <c r="V505" s="120">
        <f t="shared" si="63"/>
        <v>0</v>
      </c>
      <c r="W505" s="120">
        <f t="shared" si="64"/>
        <v>0</v>
      </c>
    </row>
    <row r="506" spans="1:23" s="118" customFormat="1" hidden="1" x14ac:dyDescent="0.25">
      <c r="A506" s="64" t="str">
        <f t="shared" si="61"/>
        <v xml:space="preserve"> - кондиционеры</v>
      </c>
      <c r="B506" s="64" t="str">
        <f t="shared" si="61"/>
        <v>244</v>
      </c>
      <c r="C506" s="64" t="str">
        <f t="shared" si="61"/>
        <v>310</v>
      </c>
      <c r="D506" s="119"/>
      <c r="E506" s="120"/>
      <c r="F506" s="120"/>
      <c r="G506" s="120"/>
      <c r="H506" s="117"/>
      <c r="I506" s="117"/>
      <c r="R506" s="120"/>
      <c r="S506" s="120"/>
      <c r="T506" s="120"/>
      <c r="U506" s="120">
        <f t="shared" si="62"/>
        <v>0</v>
      </c>
      <c r="V506" s="120">
        <f t="shared" si="63"/>
        <v>0</v>
      </c>
      <c r="W506" s="120">
        <f t="shared" si="64"/>
        <v>0</v>
      </c>
    </row>
    <row r="507" spans="1:23" s="118" customFormat="1" hidden="1" x14ac:dyDescent="0.25">
      <c r="A507" s="64" t="str">
        <f t="shared" si="61"/>
        <v xml:space="preserve"> - мебель</v>
      </c>
      <c r="B507" s="64" t="str">
        <f t="shared" si="61"/>
        <v>244</v>
      </c>
      <c r="C507" s="64" t="str">
        <f t="shared" si="61"/>
        <v>310</v>
      </c>
      <c r="D507" s="119"/>
      <c r="E507" s="120"/>
      <c r="F507" s="120"/>
      <c r="G507" s="120"/>
      <c r="H507" s="117"/>
      <c r="I507" s="117"/>
      <c r="R507" s="120"/>
      <c r="S507" s="120"/>
      <c r="T507" s="120"/>
      <c r="U507" s="120">
        <f t="shared" si="62"/>
        <v>0</v>
      </c>
      <c r="V507" s="120">
        <f t="shared" si="63"/>
        <v>0</v>
      </c>
      <c r="W507" s="120">
        <f t="shared" si="64"/>
        <v>0</v>
      </c>
    </row>
    <row r="508" spans="1:23" s="118" customFormat="1" hidden="1" x14ac:dyDescent="0.25">
      <c r="A508" s="64" t="str">
        <f t="shared" si="61"/>
        <v xml:space="preserve"> - оборудование</v>
      </c>
      <c r="B508" s="64" t="str">
        <f t="shared" si="61"/>
        <v>244</v>
      </c>
      <c r="C508" s="64" t="str">
        <f t="shared" si="61"/>
        <v>310</v>
      </c>
      <c r="D508" s="119"/>
      <c r="E508" s="120"/>
      <c r="F508" s="120"/>
      <c r="G508" s="120"/>
      <c r="H508" s="117"/>
      <c r="I508" s="117"/>
      <c r="R508" s="120"/>
      <c r="S508" s="120"/>
      <c r="T508" s="120"/>
      <c r="U508" s="120">
        <f t="shared" si="62"/>
        <v>0</v>
      </c>
      <c r="V508" s="120">
        <f t="shared" si="63"/>
        <v>0</v>
      </c>
      <c r="W508" s="120">
        <f t="shared" si="64"/>
        <v>0</v>
      </c>
    </row>
    <row r="509" spans="1:23" s="118" customFormat="1" hidden="1" x14ac:dyDescent="0.25">
      <c r="A509" s="64" t="str">
        <f t="shared" si="61"/>
        <v xml:space="preserve"> - инструмент и инвентарь</v>
      </c>
      <c r="B509" s="64" t="str">
        <f t="shared" si="61"/>
        <v>244</v>
      </c>
      <c r="C509" s="64" t="str">
        <f t="shared" si="61"/>
        <v>310</v>
      </c>
      <c r="D509" s="119"/>
      <c r="E509" s="120"/>
      <c r="F509" s="120"/>
      <c r="G509" s="120"/>
      <c r="H509" s="117"/>
      <c r="I509" s="117"/>
      <c r="R509" s="120"/>
      <c r="S509" s="120"/>
      <c r="T509" s="120"/>
      <c r="U509" s="120">
        <f t="shared" si="62"/>
        <v>0</v>
      </c>
      <c r="V509" s="120">
        <f t="shared" si="63"/>
        <v>0</v>
      </c>
      <c r="W509" s="120">
        <f t="shared" si="64"/>
        <v>0</v>
      </c>
    </row>
    <row r="510" spans="1:23" s="118" customFormat="1" hidden="1" x14ac:dyDescent="0.25">
      <c r="A510" s="64" t="str">
        <f t="shared" si="61"/>
        <v xml:space="preserve"> - турникет</v>
      </c>
      <c r="B510" s="64" t="str">
        <f t="shared" si="61"/>
        <v>244</v>
      </c>
      <c r="C510" s="64" t="str">
        <f t="shared" si="61"/>
        <v>310</v>
      </c>
      <c r="D510" s="119"/>
      <c r="E510" s="120"/>
      <c r="F510" s="120"/>
      <c r="G510" s="120"/>
      <c r="H510" s="117"/>
      <c r="I510" s="117"/>
      <c r="R510" s="120"/>
      <c r="S510" s="120"/>
      <c r="T510" s="120"/>
      <c r="U510" s="120">
        <f t="shared" si="62"/>
        <v>0</v>
      </c>
      <c r="V510" s="120">
        <f t="shared" si="63"/>
        <v>0</v>
      </c>
      <c r="W510" s="120">
        <f t="shared" si="64"/>
        <v>0</v>
      </c>
    </row>
    <row r="511" spans="1:23" s="118" customFormat="1" hidden="1" x14ac:dyDescent="0.25">
      <c r="A511" s="64" t="str">
        <f t="shared" si="61"/>
        <v xml:space="preserve"> - жалюзи</v>
      </c>
      <c r="B511" s="64" t="str">
        <f t="shared" si="61"/>
        <v>244</v>
      </c>
      <c r="C511" s="64" t="str">
        <f t="shared" si="61"/>
        <v>310</v>
      </c>
      <c r="D511" s="119"/>
      <c r="E511" s="120"/>
      <c r="F511" s="120"/>
      <c r="G511" s="120"/>
      <c r="H511" s="117"/>
      <c r="I511" s="117"/>
      <c r="R511" s="120"/>
      <c r="S511" s="120"/>
      <c r="T511" s="120"/>
      <c r="U511" s="120">
        <f t="shared" si="62"/>
        <v>0</v>
      </c>
      <c r="V511" s="120">
        <f t="shared" si="63"/>
        <v>0</v>
      </c>
      <c r="W511" s="120">
        <f t="shared" si="64"/>
        <v>0</v>
      </c>
    </row>
    <row r="512" spans="1:23" s="118" customFormat="1" hidden="1" x14ac:dyDescent="0.25">
      <c r="A512" s="64" t="str">
        <f t="shared" si="61"/>
        <v xml:space="preserve"> - игрушки</v>
      </c>
      <c r="B512" s="64" t="str">
        <f t="shared" si="61"/>
        <v>244</v>
      </c>
      <c r="C512" s="64" t="str">
        <f t="shared" si="61"/>
        <v>310</v>
      </c>
      <c r="D512" s="119"/>
      <c r="E512" s="120"/>
      <c r="F512" s="120"/>
      <c r="G512" s="120"/>
      <c r="H512" s="117"/>
      <c r="I512" s="117"/>
      <c r="R512" s="120"/>
      <c r="S512" s="120"/>
      <c r="T512" s="120"/>
      <c r="U512" s="120">
        <f t="shared" si="62"/>
        <v>0</v>
      </c>
      <c r="V512" s="120">
        <f t="shared" si="63"/>
        <v>0</v>
      </c>
      <c r="W512" s="120">
        <f t="shared" si="64"/>
        <v>0</v>
      </c>
    </row>
    <row r="513" spans="1:23" s="118" customFormat="1" hidden="1" x14ac:dyDescent="0.25">
      <c r="A513" s="64" t="str">
        <f t="shared" si="61"/>
        <v xml:space="preserve"> - металлические входные двери</v>
      </c>
      <c r="B513" s="64" t="str">
        <f t="shared" si="61"/>
        <v>244</v>
      </c>
      <c r="C513" s="64" t="str">
        <f t="shared" si="61"/>
        <v>310</v>
      </c>
      <c r="D513" s="119"/>
      <c r="E513" s="120"/>
      <c r="F513" s="120"/>
      <c r="G513" s="120"/>
      <c r="H513" s="117"/>
      <c r="I513" s="117"/>
      <c r="R513" s="120"/>
      <c r="S513" s="120"/>
      <c r="T513" s="120"/>
      <c r="U513" s="120">
        <f t="shared" si="62"/>
        <v>0</v>
      </c>
      <c r="V513" s="120">
        <f t="shared" si="63"/>
        <v>0</v>
      </c>
      <c r="W513" s="120">
        <f t="shared" si="64"/>
        <v>0</v>
      </c>
    </row>
    <row r="514" spans="1:23" s="45" customFormat="1" ht="27.6" hidden="1" x14ac:dyDescent="0.25">
      <c r="A514" s="52" t="str">
        <f t="shared" si="61"/>
        <v xml:space="preserve"> - увеличение стоимости материальных запасов, всего:</v>
      </c>
      <c r="B514" s="52" t="str">
        <f t="shared" si="61"/>
        <v>244</v>
      </c>
      <c r="C514" s="52" t="str">
        <f t="shared" si="61"/>
        <v>340</v>
      </c>
      <c r="D514" s="104"/>
      <c r="E514" s="62">
        <f>SUM(E515:E529)</f>
        <v>0</v>
      </c>
      <c r="F514" s="62">
        <f>SUM(F515:F529)</f>
        <v>0</v>
      </c>
      <c r="G514" s="62">
        <f>SUM(G515:G529)</f>
        <v>0</v>
      </c>
      <c r="H514" s="63"/>
      <c r="I514" s="63"/>
      <c r="R514" s="62"/>
      <c r="S514" s="62"/>
      <c r="T514" s="62"/>
      <c r="U514" s="62">
        <f t="shared" si="62"/>
        <v>0</v>
      </c>
      <c r="V514" s="62">
        <f t="shared" si="63"/>
        <v>0</v>
      </c>
      <c r="W514" s="62">
        <f t="shared" si="64"/>
        <v>0</v>
      </c>
    </row>
    <row r="515" spans="1:23" s="58" customFormat="1" hidden="1" x14ac:dyDescent="0.25">
      <c r="A515" s="52" t="str">
        <f t="shared" si="61"/>
        <v xml:space="preserve"> - ГСМ</v>
      </c>
      <c r="B515" s="52" t="str">
        <f t="shared" si="61"/>
        <v>244</v>
      </c>
      <c r="C515" s="52" t="str">
        <f t="shared" si="61"/>
        <v>343</v>
      </c>
      <c r="D515" s="53"/>
      <c r="E515" s="54"/>
      <c r="F515" s="54"/>
      <c r="G515" s="54"/>
      <c r="H515" s="57"/>
      <c r="I515" s="57"/>
      <c r="R515" s="54"/>
      <c r="S515" s="54"/>
      <c r="T515" s="54"/>
      <c r="U515" s="54">
        <f t="shared" si="62"/>
        <v>0</v>
      </c>
      <c r="V515" s="54">
        <f t="shared" si="63"/>
        <v>0</v>
      </c>
      <c r="W515" s="54">
        <f t="shared" si="64"/>
        <v>0</v>
      </c>
    </row>
    <row r="516" spans="1:23" s="58" customFormat="1" hidden="1" x14ac:dyDescent="0.25">
      <c r="A516" s="52" t="str">
        <f t="shared" si="61"/>
        <v xml:space="preserve"> - продукты питания</v>
      </c>
      <c r="B516" s="52" t="str">
        <f t="shared" si="61"/>
        <v>244</v>
      </c>
      <c r="C516" s="52" t="str">
        <f t="shared" si="61"/>
        <v>342</v>
      </c>
      <c r="D516" s="53"/>
      <c r="E516" s="54"/>
      <c r="F516" s="54"/>
      <c r="G516" s="54"/>
      <c r="H516" s="57"/>
      <c r="I516" s="57"/>
      <c r="R516" s="54"/>
      <c r="S516" s="54"/>
      <c r="T516" s="54"/>
      <c r="U516" s="54">
        <f t="shared" si="62"/>
        <v>0</v>
      </c>
      <c r="V516" s="54">
        <f t="shared" si="63"/>
        <v>0</v>
      </c>
      <c r="W516" s="54">
        <f t="shared" si="64"/>
        <v>0</v>
      </c>
    </row>
    <row r="517" spans="1:23" s="58" customFormat="1" hidden="1" x14ac:dyDescent="0.25">
      <c r="A517" s="52" t="str">
        <f t="shared" si="61"/>
        <v xml:space="preserve"> - расходные материалы к комп.технике</v>
      </c>
      <c r="B517" s="52" t="str">
        <f t="shared" si="61"/>
        <v>244</v>
      </c>
      <c r="C517" s="52" t="str">
        <f t="shared" si="61"/>
        <v>346</v>
      </c>
      <c r="D517" s="53"/>
      <c r="E517" s="54"/>
      <c r="F517" s="54"/>
      <c r="G517" s="54"/>
      <c r="H517" s="57"/>
      <c r="I517" s="57"/>
      <c r="R517" s="54"/>
      <c r="S517" s="54"/>
      <c r="T517" s="54"/>
      <c r="U517" s="54">
        <f t="shared" si="62"/>
        <v>0</v>
      </c>
      <c r="V517" s="54">
        <f t="shared" si="63"/>
        <v>0</v>
      </c>
      <c r="W517" s="54">
        <f t="shared" si="64"/>
        <v>0</v>
      </c>
    </row>
    <row r="518" spans="1:23" s="58" customFormat="1" hidden="1" x14ac:dyDescent="0.25">
      <c r="A518" s="52" t="str">
        <f t="shared" si="61"/>
        <v xml:space="preserve"> - медикаменты</v>
      </c>
      <c r="B518" s="52" t="str">
        <f t="shared" si="61"/>
        <v>244</v>
      </c>
      <c r="C518" s="52" t="str">
        <f t="shared" si="61"/>
        <v>341</v>
      </c>
      <c r="D518" s="53"/>
      <c r="E518" s="54"/>
      <c r="F518" s="54"/>
      <c r="G518" s="54"/>
      <c r="H518" s="57"/>
      <c r="I518" s="57"/>
      <c r="R518" s="54"/>
      <c r="S518" s="54"/>
      <c r="T518" s="54"/>
      <c r="U518" s="54">
        <f t="shared" si="62"/>
        <v>0</v>
      </c>
      <c r="V518" s="54">
        <f t="shared" si="63"/>
        <v>0</v>
      </c>
      <c r="W518" s="54">
        <f t="shared" si="64"/>
        <v>0</v>
      </c>
    </row>
    <row r="519" spans="1:23" s="58" customFormat="1" hidden="1" x14ac:dyDescent="0.25">
      <c r="A519" s="52" t="str">
        <f t="shared" si="61"/>
        <v xml:space="preserve"> - строительные материалы</v>
      </c>
      <c r="B519" s="52" t="str">
        <f t="shared" si="61"/>
        <v>244</v>
      </c>
      <c r="C519" s="52" t="str">
        <f t="shared" si="61"/>
        <v>344</v>
      </c>
      <c r="D519" s="53"/>
      <c r="E519" s="54"/>
      <c r="F519" s="54"/>
      <c r="G519" s="54"/>
      <c r="H519" s="57"/>
      <c r="I519" s="57"/>
      <c r="R519" s="54"/>
      <c r="S519" s="54"/>
      <c r="T519" s="54"/>
      <c r="U519" s="54">
        <f t="shared" si="62"/>
        <v>0</v>
      </c>
      <c r="V519" s="54">
        <f t="shared" si="63"/>
        <v>0</v>
      </c>
      <c r="W519" s="54">
        <f t="shared" si="64"/>
        <v>0</v>
      </c>
    </row>
    <row r="520" spans="1:23" s="58" customFormat="1" hidden="1" x14ac:dyDescent="0.25">
      <c r="A520" s="52" t="str">
        <f t="shared" si="61"/>
        <v xml:space="preserve"> - ворота, калитка</v>
      </c>
      <c r="B520" s="52" t="str">
        <f t="shared" si="61"/>
        <v>244</v>
      </c>
      <c r="C520" s="52" t="str">
        <f t="shared" si="61"/>
        <v>344</v>
      </c>
      <c r="D520" s="53"/>
      <c r="E520" s="54"/>
      <c r="F520" s="54"/>
      <c r="G520" s="54"/>
      <c r="H520" s="57"/>
      <c r="I520" s="57"/>
      <c r="R520" s="54"/>
      <c r="S520" s="54"/>
      <c r="T520" s="54"/>
      <c r="U520" s="54">
        <f t="shared" si="62"/>
        <v>0</v>
      </c>
      <c r="V520" s="54">
        <f t="shared" si="63"/>
        <v>0</v>
      </c>
      <c r="W520" s="54">
        <f t="shared" si="64"/>
        <v>0</v>
      </c>
    </row>
    <row r="521" spans="1:23" s="58" customFormat="1" hidden="1" x14ac:dyDescent="0.25">
      <c r="A521" s="52" t="str">
        <f t="shared" ref="A521:C529" si="65">A161</f>
        <v xml:space="preserve"> - канцелярские товары</v>
      </c>
      <c r="B521" s="52" t="str">
        <f t="shared" si="65"/>
        <v>244</v>
      </c>
      <c r="C521" s="52" t="str">
        <f t="shared" si="65"/>
        <v>346</v>
      </c>
      <c r="D521" s="53"/>
      <c r="E521" s="54"/>
      <c r="F521" s="54"/>
      <c r="G521" s="54"/>
      <c r="H521" s="57"/>
      <c r="I521" s="57"/>
      <c r="R521" s="54"/>
      <c r="S521" s="54"/>
      <c r="T521" s="54"/>
      <c r="U521" s="54">
        <f t="shared" si="62"/>
        <v>0</v>
      </c>
      <c r="V521" s="54">
        <f t="shared" si="63"/>
        <v>0</v>
      </c>
      <c r="W521" s="54">
        <f t="shared" si="64"/>
        <v>0</v>
      </c>
    </row>
    <row r="522" spans="1:23" s="58" customFormat="1" hidden="1" x14ac:dyDescent="0.25">
      <c r="A522" s="52" t="str">
        <f t="shared" si="65"/>
        <v xml:space="preserve"> - хозяйственные товары, электрика</v>
      </c>
      <c r="B522" s="52" t="str">
        <f t="shared" si="65"/>
        <v>244</v>
      </c>
      <c r="C522" s="52" t="str">
        <f t="shared" si="65"/>
        <v>346</v>
      </c>
      <c r="D522" s="53"/>
      <c r="E522" s="54"/>
      <c r="F522" s="54"/>
      <c r="G522" s="54"/>
      <c r="H522" s="57"/>
      <c r="I522" s="57"/>
      <c r="R522" s="54"/>
      <c r="S522" s="54"/>
      <c r="T522" s="54"/>
      <c r="U522" s="54">
        <f t="shared" si="62"/>
        <v>0</v>
      </c>
      <c r="V522" s="54">
        <f t="shared" si="63"/>
        <v>0</v>
      </c>
      <c r="W522" s="54">
        <f t="shared" si="64"/>
        <v>0</v>
      </c>
    </row>
    <row r="523" spans="1:23" s="58" customFormat="1" hidden="1" x14ac:dyDescent="0.25">
      <c r="A523" s="52" t="str">
        <f t="shared" si="65"/>
        <v xml:space="preserve"> - бланки</v>
      </c>
      <c r="B523" s="52" t="str">
        <f t="shared" si="65"/>
        <v>244</v>
      </c>
      <c r="C523" s="52" t="str">
        <f t="shared" si="65"/>
        <v>346</v>
      </c>
      <c r="D523" s="53"/>
      <c r="E523" s="54"/>
      <c r="F523" s="54"/>
      <c r="G523" s="54"/>
      <c r="H523" s="57"/>
      <c r="I523" s="57"/>
      <c r="R523" s="54"/>
      <c r="S523" s="54"/>
      <c r="T523" s="54"/>
      <c r="U523" s="54">
        <f t="shared" si="62"/>
        <v>0</v>
      </c>
      <c r="V523" s="54">
        <f t="shared" si="63"/>
        <v>0</v>
      </c>
      <c r="W523" s="54">
        <f t="shared" si="64"/>
        <v>0</v>
      </c>
    </row>
    <row r="524" spans="1:23" s="58" customFormat="1" hidden="1" x14ac:dyDescent="0.25">
      <c r="A524" s="52" t="str">
        <f t="shared" si="65"/>
        <v xml:space="preserve"> - моющие</v>
      </c>
      <c r="B524" s="52" t="str">
        <f t="shared" si="65"/>
        <v>244</v>
      </c>
      <c r="C524" s="52" t="str">
        <f t="shared" si="65"/>
        <v>346</v>
      </c>
      <c r="D524" s="53"/>
      <c r="E524" s="54"/>
      <c r="F524" s="54"/>
      <c r="G524" s="54"/>
      <c r="H524" s="57"/>
      <c r="I524" s="57"/>
      <c r="R524" s="54"/>
      <c r="S524" s="54"/>
      <c r="T524" s="54"/>
      <c r="U524" s="54">
        <f t="shared" si="62"/>
        <v>0</v>
      </c>
      <c r="V524" s="54">
        <f t="shared" si="63"/>
        <v>0</v>
      </c>
      <c r="W524" s="54">
        <f t="shared" si="64"/>
        <v>0</v>
      </c>
    </row>
    <row r="525" spans="1:23" s="58" customFormat="1" hidden="1" x14ac:dyDescent="0.25">
      <c r="A525" s="52" t="str">
        <f t="shared" si="65"/>
        <v xml:space="preserve"> - новогодние подарки детям сотрудников</v>
      </c>
      <c r="B525" s="52" t="str">
        <f t="shared" si="65"/>
        <v>244</v>
      </c>
      <c r="C525" s="52" t="str">
        <f t="shared" si="65"/>
        <v>349</v>
      </c>
      <c r="D525" s="53"/>
      <c r="E525" s="54"/>
      <c r="F525" s="54"/>
      <c r="G525" s="54"/>
      <c r="H525" s="57"/>
      <c r="I525" s="57"/>
      <c r="R525" s="54"/>
      <c r="S525" s="54"/>
      <c r="T525" s="54"/>
      <c r="U525" s="54">
        <f t="shared" si="62"/>
        <v>0</v>
      </c>
      <c r="V525" s="54">
        <f t="shared" si="63"/>
        <v>0</v>
      </c>
      <c r="W525" s="54">
        <f t="shared" si="64"/>
        <v>0</v>
      </c>
    </row>
    <row r="526" spans="1:23" s="58" customFormat="1" hidden="1" x14ac:dyDescent="0.25">
      <c r="A526" s="52" t="str">
        <f t="shared" si="65"/>
        <v xml:space="preserve"> - новогодние подарки сотрудникам</v>
      </c>
      <c r="B526" s="52" t="str">
        <f t="shared" si="65"/>
        <v>244</v>
      </c>
      <c r="C526" s="52" t="str">
        <f t="shared" si="65"/>
        <v>349</v>
      </c>
      <c r="D526" s="53"/>
      <c r="E526" s="54"/>
      <c r="F526" s="54"/>
      <c r="G526" s="54"/>
      <c r="H526" s="57"/>
      <c r="I526" s="57"/>
      <c r="R526" s="54"/>
      <c r="S526" s="54"/>
      <c r="T526" s="54"/>
      <c r="U526" s="54">
        <f t="shared" si="62"/>
        <v>0</v>
      </c>
      <c r="V526" s="54">
        <f t="shared" si="63"/>
        <v>0</v>
      </c>
      <c r="W526" s="54">
        <f t="shared" si="64"/>
        <v>0</v>
      </c>
    </row>
    <row r="527" spans="1:23" s="58" customFormat="1" hidden="1" x14ac:dyDescent="0.25">
      <c r="A527" s="52" t="str">
        <f t="shared" si="65"/>
        <v xml:space="preserve"> - прочие материальные запасы</v>
      </c>
      <c r="B527" s="52" t="str">
        <f t="shared" si="65"/>
        <v>244</v>
      </c>
      <c r="C527" s="52" t="str">
        <f t="shared" si="65"/>
        <v>346</v>
      </c>
      <c r="D527" s="53"/>
      <c r="E527" s="54"/>
      <c r="F527" s="54"/>
      <c r="G527" s="54"/>
      <c r="H527" s="57"/>
      <c r="I527" s="57"/>
      <c r="R527" s="54"/>
      <c r="S527" s="54"/>
      <c r="T527" s="54"/>
      <c r="U527" s="54">
        <f t="shared" si="62"/>
        <v>0</v>
      </c>
      <c r="V527" s="54">
        <f t="shared" si="63"/>
        <v>0</v>
      </c>
      <c r="W527" s="54">
        <f t="shared" si="64"/>
        <v>0</v>
      </c>
    </row>
    <row r="528" spans="1:23" s="58" customFormat="1" hidden="1" x14ac:dyDescent="0.25">
      <c r="A528" s="52" t="str">
        <f t="shared" si="65"/>
        <v xml:space="preserve"> - спецодежда МОП</v>
      </c>
      <c r="B528" s="52" t="str">
        <f t="shared" si="65"/>
        <v>244</v>
      </c>
      <c r="C528" s="52" t="str">
        <f t="shared" si="65"/>
        <v>345</v>
      </c>
      <c r="D528" s="53"/>
      <c r="E528" s="54"/>
      <c r="F528" s="54"/>
      <c r="G528" s="54"/>
      <c r="H528" s="57"/>
      <c r="I528" s="57"/>
      <c r="R528" s="54"/>
      <c r="S528" s="54"/>
      <c r="T528" s="54"/>
      <c r="U528" s="54">
        <f t="shared" si="62"/>
        <v>0</v>
      </c>
      <c r="V528" s="54">
        <f t="shared" si="63"/>
        <v>0</v>
      </c>
      <c r="W528" s="54">
        <f t="shared" si="64"/>
        <v>0</v>
      </c>
    </row>
    <row r="529" spans="1:23" s="58" customFormat="1" hidden="1" x14ac:dyDescent="0.25">
      <c r="A529" s="52" t="str">
        <f t="shared" si="65"/>
        <v xml:space="preserve"> - запчасти для а/м</v>
      </c>
      <c r="B529" s="52" t="str">
        <f t="shared" si="65"/>
        <v>244</v>
      </c>
      <c r="C529" s="52" t="str">
        <f t="shared" si="65"/>
        <v>346</v>
      </c>
      <c r="D529" s="53"/>
      <c r="E529" s="54"/>
      <c r="F529" s="54"/>
      <c r="G529" s="54"/>
      <c r="H529" s="57"/>
      <c r="I529" s="57"/>
      <c r="R529" s="54"/>
      <c r="S529" s="54"/>
      <c r="T529" s="54"/>
      <c r="U529" s="54">
        <f t="shared" si="62"/>
        <v>0</v>
      </c>
      <c r="V529" s="54">
        <f t="shared" si="63"/>
        <v>0</v>
      </c>
      <c r="W529" s="54">
        <f t="shared" si="64"/>
        <v>0</v>
      </c>
    </row>
    <row r="530" spans="1:23" s="45" customFormat="1" hidden="1" x14ac:dyDescent="0.25">
      <c r="A530" s="699" t="s">
        <v>353</v>
      </c>
      <c r="B530" s="702"/>
      <c r="C530" s="702"/>
      <c r="D530" s="702" t="s">
        <v>37</v>
      </c>
      <c r="E530" s="703">
        <f>SUM(E531,E532,E533,E534,E535,E536,E537,E545,E543,E569,E587,E589,E590,E591,E592,E594,E604,E541,E544,E588,E540,E542,E586,E593)</f>
        <v>0</v>
      </c>
      <c r="F530" s="703">
        <f>SUM(F531,F532,F533,F534,F535,F536,F537,F545,F543,F569,F587,F589,F590,F591,F592,F594,F604,F541,F544,F588,F540,F542,F586,F593)</f>
        <v>0</v>
      </c>
      <c r="G530" s="703">
        <f>SUM(G531,G532,G533,G534,G535,G536,G537,G545,G543,G569,G587,G589,G590,G591,G592,G594,G604,G541,G544,G588,G540,G542,G586,G593)</f>
        <v>0</v>
      </c>
      <c r="H530" s="63"/>
      <c r="R530" s="61"/>
      <c r="S530" s="61"/>
      <c r="T530" s="61"/>
      <c r="U530" s="61">
        <f t="shared" si="62"/>
        <v>0</v>
      </c>
      <c r="V530" s="61">
        <f t="shared" si="63"/>
        <v>0</v>
      </c>
      <c r="W530" s="61">
        <f t="shared" si="64"/>
        <v>0</v>
      </c>
    </row>
    <row r="531" spans="1:23" hidden="1" x14ac:dyDescent="0.25">
      <c r="A531" s="441" t="str">
        <f t="shared" ref="A531:C550" si="66">A81</f>
        <v xml:space="preserve"> - заработная плата</v>
      </c>
      <c r="B531" s="441" t="str">
        <f t="shared" si="66"/>
        <v>111</v>
      </c>
      <c r="C531" s="441" t="str">
        <f t="shared" si="66"/>
        <v>211</v>
      </c>
      <c r="D531" s="53" t="s">
        <v>37</v>
      </c>
      <c r="E531" s="54"/>
      <c r="F531" s="54"/>
      <c r="G531" s="54"/>
      <c r="H531" s="56"/>
      <c r="R531" s="54"/>
      <c r="S531" s="54"/>
      <c r="T531" s="54"/>
      <c r="U531" s="54">
        <f t="shared" si="62"/>
        <v>0</v>
      </c>
      <c r="V531" s="54">
        <f t="shared" si="63"/>
        <v>0</v>
      </c>
      <c r="W531" s="54">
        <f t="shared" si="64"/>
        <v>0</v>
      </c>
    </row>
    <row r="532" spans="1:23" hidden="1" x14ac:dyDescent="0.25">
      <c r="A532" s="52" t="str">
        <f t="shared" si="66"/>
        <v xml:space="preserve"> - 3 дн б/л за счет работодателя</v>
      </c>
      <c r="B532" s="52" t="str">
        <f t="shared" si="66"/>
        <v>111</v>
      </c>
      <c r="C532" s="52" t="str">
        <f t="shared" si="66"/>
        <v>266</v>
      </c>
      <c r="D532" s="53" t="s">
        <v>37</v>
      </c>
      <c r="E532" s="54"/>
      <c r="F532" s="54"/>
      <c r="G532" s="54"/>
      <c r="H532" s="56"/>
      <c r="R532" s="54"/>
      <c r="S532" s="54"/>
      <c r="T532" s="54"/>
      <c r="U532" s="54">
        <f t="shared" si="62"/>
        <v>0</v>
      </c>
      <c r="V532" s="54">
        <f t="shared" si="63"/>
        <v>0</v>
      </c>
      <c r="W532" s="54">
        <f t="shared" si="64"/>
        <v>0</v>
      </c>
    </row>
    <row r="533" spans="1:23" s="58" customFormat="1" hidden="1" x14ac:dyDescent="0.25">
      <c r="A533" s="52" t="str">
        <f t="shared" si="66"/>
        <v xml:space="preserve"> - пособие по уходу за ребенком</v>
      </c>
      <c r="B533" s="52" t="str">
        <f t="shared" si="66"/>
        <v>112</v>
      </c>
      <c r="C533" s="52" t="str">
        <f t="shared" si="66"/>
        <v>266</v>
      </c>
      <c r="D533" s="53" t="s">
        <v>37</v>
      </c>
      <c r="E533" s="54"/>
      <c r="F533" s="54"/>
      <c r="G533" s="54"/>
      <c r="H533" s="57"/>
      <c r="I533" s="57"/>
      <c r="R533" s="54"/>
      <c r="S533" s="54"/>
      <c r="T533" s="54"/>
      <c r="U533" s="54">
        <f t="shared" si="62"/>
        <v>0</v>
      </c>
      <c r="V533" s="54">
        <f t="shared" si="63"/>
        <v>0</v>
      </c>
      <c r="W533" s="54">
        <f t="shared" si="64"/>
        <v>0</v>
      </c>
    </row>
    <row r="534" spans="1:23" s="58" customFormat="1" hidden="1" x14ac:dyDescent="0.25">
      <c r="A534" s="52" t="str">
        <f t="shared" si="66"/>
        <v xml:space="preserve"> - предварительный мед.осмотр (возм.расх.)</v>
      </c>
      <c r="B534" s="52" t="str">
        <f t="shared" si="66"/>
        <v>112</v>
      </c>
      <c r="C534" s="52" t="str">
        <f t="shared" si="66"/>
        <v>226</v>
      </c>
      <c r="D534" s="53" t="s">
        <v>37</v>
      </c>
      <c r="E534" s="54"/>
      <c r="F534" s="54"/>
      <c r="G534" s="54"/>
      <c r="H534" s="57"/>
      <c r="I534" s="57"/>
      <c r="R534" s="54"/>
      <c r="S534" s="54"/>
      <c r="T534" s="54"/>
      <c r="U534" s="54">
        <f t="shared" si="62"/>
        <v>0</v>
      </c>
      <c r="V534" s="54">
        <f t="shared" si="63"/>
        <v>0</v>
      </c>
      <c r="W534" s="54">
        <f t="shared" si="64"/>
        <v>0</v>
      </c>
    </row>
    <row r="535" spans="1:23" s="58" customFormat="1" hidden="1" x14ac:dyDescent="0.25">
      <c r="A535" s="52" t="str">
        <f t="shared" si="66"/>
        <v xml:space="preserve"> - НДФЛ</v>
      </c>
      <c r="B535" s="52" t="str">
        <f t="shared" si="66"/>
        <v>112</v>
      </c>
      <c r="C535" s="52" t="str">
        <f t="shared" si="66"/>
        <v>266</v>
      </c>
      <c r="D535" s="53" t="s">
        <v>37</v>
      </c>
      <c r="E535" s="54"/>
      <c r="F535" s="54"/>
      <c r="G535" s="54"/>
      <c r="H535" s="57"/>
      <c r="I535" s="57"/>
      <c r="R535" s="54"/>
      <c r="S535" s="54"/>
      <c r="T535" s="54"/>
      <c r="U535" s="54">
        <f t="shared" si="62"/>
        <v>0</v>
      </c>
      <c r="V535" s="54">
        <f t="shared" si="63"/>
        <v>0</v>
      </c>
      <c r="W535" s="54">
        <f t="shared" si="64"/>
        <v>0</v>
      </c>
    </row>
    <row r="536" spans="1:23" hidden="1" x14ac:dyDescent="0.25">
      <c r="A536" s="52" t="str">
        <f t="shared" si="66"/>
        <v xml:space="preserve"> - начисления на оплату труда</v>
      </c>
      <c r="B536" s="52" t="str">
        <f t="shared" si="66"/>
        <v>119</v>
      </c>
      <c r="C536" s="52" t="str">
        <f t="shared" si="66"/>
        <v>213</v>
      </c>
      <c r="D536" s="53" t="s">
        <v>37</v>
      </c>
      <c r="E536" s="54"/>
      <c r="F536" s="54"/>
      <c r="G536" s="54"/>
      <c r="H536" s="56"/>
      <c r="R536" s="54"/>
      <c r="S536" s="54"/>
      <c r="T536" s="54"/>
      <c r="U536" s="54">
        <f t="shared" ref="U536:U567" si="67">E536-R536</f>
        <v>0</v>
      </c>
      <c r="V536" s="54">
        <f t="shared" ref="V536:V567" si="68">F536-S536</f>
        <v>0</v>
      </c>
      <c r="W536" s="54">
        <f t="shared" ref="W536:W567" si="69">G536-T536</f>
        <v>0</v>
      </c>
    </row>
    <row r="537" spans="1:23" s="45" customFormat="1" hidden="1" x14ac:dyDescent="0.25">
      <c r="A537" s="52" t="str">
        <f t="shared" si="66"/>
        <v xml:space="preserve"> - услуги связи, всего:</v>
      </c>
      <c r="B537" s="52" t="str">
        <f t="shared" si="66"/>
        <v>244</v>
      </c>
      <c r="C537" s="52" t="str">
        <f t="shared" si="66"/>
        <v>221</v>
      </c>
      <c r="D537" s="60"/>
      <c r="E537" s="61">
        <f>SUM(E538:E539)</f>
        <v>0</v>
      </c>
      <c r="F537" s="61">
        <f>SUM(F538:F539)</f>
        <v>0</v>
      </c>
      <c r="G537" s="61">
        <f>SUM(G538:G539)</f>
        <v>0</v>
      </c>
      <c r="H537" s="63"/>
      <c r="R537" s="61"/>
      <c r="S537" s="61"/>
      <c r="T537" s="61"/>
      <c r="U537" s="61">
        <f t="shared" si="67"/>
        <v>0</v>
      </c>
      <c r="V537" s="61">
        <f t="shared" si="68"/>
        <v>0</v>
      </c>
      <c r="W537" s="61">
        <f t="shared" si="69"/>
        <v>0</v>
      </c>
    </row>
    <row r="538" spans="1:23" ht="27.6" hidden="1" x14ac:dyDescent="0.25">
      <c r="A538" s="52" t="str">
        <f t="shared" si="66"/>
        <v xml:space="preserve">   в том числе:
    - ГТС и МТС</v>
      </c>
      <c r="B538" s="52" t="str">
        <f t="shared" si="66"/>
        <v>244</v>
      </c>
      <c r="C538" s="52" t="str">
        <f t="shared" si="66"/>
        <v>221</v>
      </c>
      <c r="D538" s="53"/>
      <c r="E538" s="54"/>
      <c r="F538" s="54"/>
      <c r="G538" s="54"/>
      <c r="H538" s="56"/>
      <c r="I538" s="56"/>
      <c r="R538" s="54"/>
      <c r="S538" s="54"/>
      <c r="T538" s="54"/>
      <c r="U538" s="54">
        <f t="shared" si="67"/>
        <v>0</v>
      </c>
      <c r="V538" s="54">
        <f t="shared" si="68"/>
        <v>0</v>
      </c>
      <c r="W538" s="54">
        <f t="shared" si="69"/>
        <v>0</v>
      </c>
    </row>
    <row r="539" spans="1:23" s="58" customFormat="1" hidden="1" x14ac:dyDescent="0.25">
      <c r="A539" s="52" t="str">
        <f t="shared" si="66"/>
        <v xml:space="preserve">    - интернет </v>
      </c>
      <c r="B539" s="52" t="str">
        <f t="shared" si="66"/>
        <v>244</v>
      </c>
      <c r="C539" s="52" t="str">
        <f t="shared" si="66"/>
        <v>221</v>
      </c>
      <c r="D539" s="53"/>
      <c r="E539" s="54"/>
      <c r="F539" s="54"/>
      <c r="G539" s="54"/>
      <c r="H539" s="57"/>
      <c r="I539" s="57"/>
      <c r="R539" s="54"/>
      <c r="S539" s="54"/>
      <c r="T539" s="54"/>
      <c r="U539" s="54">
        <f t="shared" si="67"/>
        <v>0</v>
      </c>
      <c r="V539" s="54">
        <f t="shared" si="68"/>
        <v>0</v>
      </c>
      <c r="W539" s="54">
        <f t="shared" si="69"/>
        <v>0</v>
      </c>
    </row>
    <row r="540" spans="1:23" s="58" customFormat="1" hidden="1" x14ac:dyDescent="0.25">
      <c r="A540" s="52" t="str">
        <f t="shared" si="66"/>
        <v xml:space="preserve"> - транспортные расходы</v>
      </c>
      <c r="B540" s="52" t="str">
        <f t="shared" si="66"/>
        <v>244</v>
      </c>
      <c r="C540" s="52" t="str">
        <f t="shared" si="66"/>
        <v>222</v>
      </c>
      <c r="D540" s="53"/>
      <c r="E540" s="54"/>
      <c r="F540" s="54"/>
      <c r="G540" s="54"/>
      <c r="I540" s="57"/>
      <c r="R540" s="54"/>
      <c r="S540" s="54"/>
      <c r="T540" s="54"/>
      <c r="U540" s="54">
        <f t="shared" si="67"/>
        <v>0</v>
      </c>
      <c r="V540" s="54">
        <f t="shared" si="68"/>
        <v>0</v>
      </c>
      <c r="W540" s="54">
        <f t="shared" si="69"/>
        <v>0</v>
      </c>
    </row>
    <row r="541" spans="1:23" hidden="1" x14ac:dyDescent="0.25">
      <c r="A541" s="52" t="str">
        <f t="shared" si="66"/>
        <v xml:space="preserve"> - коммунальные расходы (без ЖБО)</v>
      </c>
      <c r="B541" s="52" t="str">
        <f t="shared" si="66"/>
        <v>244</v>
      </c>
      <c r="C541" s="52" t="str">
        <f t="shared" si="66"/>
        <v>223</v>
      </c>
      <c r="D541" s="53"/>
      <c r="E541" s="54"/>
      <c r="F541" s="54"/>
      <c r="G541" s="54"/>
      <c r="H541" s="56"/>
      <c r="I541" s="56"/>
      <c r="R541" s="54"/>
      <c r="S541" s="54"/>
      <c r="T541" s="54"/>
      <c r="U541" s="54">
        <f t="shared" si="67"/>
        <v>0</v>
      </c>
      <c r="V541" s="54">
        <f t="shared" si="68"/>
        <v>0</v>
      </c>
      <c r="W541" s="54">
        <f t="shared" si="69"/>
        <v>0</v>
      </c>
    </row>
    <row r="542" spans="1:23" hidden="1" x14ac:dyDescent="0.25">
      <c r="A542" s="52" t="str">
        <f t="shared" si="66"/>
        <v xml:space="preserve"> - коммунальные расходы (без ЖБО)</v>
      </c>
      <c r="B542" s="52" t="str">
        <f t="shared" si="66"/>
        <v>247</v>
      </c>
      <c r="C542" s="52" t="str">
        <f t="shared" si="66"/>
        <v>223</v>
      </c>
      <c r="D542" s="53"/>
      <c r="E542" s="54"/>
      <c r="F542" s="54"/>
      <c r="G542" s="54"/>
      <c r="H542" s="56"/>
      <c r="I542" s="56"/>
      <c r="R542" s="54"/>
      <c r="S542" s="54"/>
      <c r="T542" s="54"/>
      <c r="U542" s="54">
        <f t="shared" si="67"/>
        <v>0</v>
      </c>
      <c r="V542" s="54">
        <f t="shared" si="68"/>
        <v>0</v>
      </c>
      <c r="W542" s="54">
        <f t="shared" si="69"/>
        <v>0</v>
      </c>
    </row>
    <row r="543" spans="1:23" hidden="1" x14ac:dyDescent="0.25">
      <c r="A543" s="52" t="str">
        <f t="shared" si="66"/>
        <v xml:space="preserve">    - ЖБО </v>
      </c>
      <c r="B543" s="52" t="str">
        <f t="shared" si="66"/>
        <v>244</v>
      </c>
      <c r="C543" s="52" t="str">
        <f t="shared" si="66"/>
        <v>223</v>
      </c>
      <c r="D543" s="53"/>
      <c r="E543" s="54"/>
      <c r="F543" s="54"/>
      <c r="G543" s="54"/>
      <c r="H543" s="58"/>
      <c r="I543" s="57"/>
      <c r="R543" s="54"/>
      <c r="S543" s="54"/>
      <c r="T543" s="54"/>
      <c r="U543" s="54">
        <f t="shared" si="67"/>
        <v>0</v>
      </c>
      <c r="V543" s="54">
        <f t="shared" si="68"/>
        <v>0</v>
      </c>
      <c r="W543" s="54">
        <f t="shared" si="69"/>
        <v>0</v>
      </c>
    </row>
    <row r="544" spans="1:23" s="58" customFormat="1" hidden="1" x14ac:dyDescent="0.25">
      <c r="A544" s="52" t="str">
        <f t="shared" si="66"/>
        <v xml:space="preserve"> - арендная плата </v>
      </c>
      <c r="B544" s="52" t="str">
        <f t="shared" si="66"/>
        <v>244</v>
      </c>
      <c r="C544" s="52" t="str">
        <f t="shared" si="66"/>
        <v>224</v>
      </c>
      <c r="D544" s="53"/>
      <c r="E544" s="54"/>
      <c r="F544" s="54"/>
      <c r="G544" s="54"/>
      <c r="H544" s="57"/>
      <c r="I544" s="57"/>
      <c r="R544" s="54"/>
      <c r="S544" s="54"/>
      <c r="T544" s="54"/>
      <c r="U544" s="54">
        <f t="shared" si="67"/>
        <v>0</v>
      </c>
      <c r="V544" s="54">
        <f t="shared" si="68"/>
        <v>0</v>
      </c>
      <c r="W544" s="54">
        <f t="shared" si="69"/>
        <v>0</v>
      </c>
    </row>
    <row r="545" spans="1:23" s="45" customFormat="1" hidden="1" x14ac:dyDescent="0.25">
      <c r="A545" s="52" t="str">
        <f t="shared" si="66"/>
        <v xml:space="preserve"> - услуги по содержанию имущества, всего:</v>
      </c>
      <c r="B545" s="52" t="str">
        <f t="shared" si="66"/>
        <v>244</v>
      </c>
      <c r="C545" s="52" t="str">
        <f t="shared" si="66"/>
        <v>225</v>
      </c>
      <c r="D545" s="104"/>
      <c r="E545" s="62">
        <f>SUM(E546:E568)</f>
        <v>0</v>
      </c>
      <c r="F545" s="62">
        <f>SUM(F546:F568)</f>
        <v>0</v>
      </c>
      <c r="G545" s="62">
        <f>SUM(G546:G568)</f>
        <v>0</v>
      </c>
      <c r="H545" s="63"/>
      <c r="I545" s="63"/>
      <c r="R545" s="62"/>
      <c r="S545" s="62"/>
      <c r="T545" s="62"/>
      <c r="U545" s="62">
        <f t="shared" si="67"/>
        <v>0</v>
      </c>
      <c r="V545" s="62">
        <f t="shared" si="68"/>
        <v>0</v>
      </c>
      <c r="W545" s="62">
        <f t="shared" si="69"/>
        <v>0</v>
      </c>
    </row>
    <row r="546" spans="1:23" ht="41.4" hidden="1" x14ac:dyDescent="0.25">
      <c r="A546" s="52" t="str">
        <f t="shared" si="66"/>
        <v xml:space="preserve">   в том числе:
    - тек.ремонт (отопление, водопровод, электросетей)</v>
      </c>
      <c r="B546" s="52" t="str">
        <f t="shared" si="66"/>
        <v>244</v>
      </c>
      <c r="C546" s="52" t="str">
        <f t="shared" si="66"/>
        <v>225</v>
      </c>
      <c r="D546" s="53"/>
      <c r="E546" s="54"/>
      <c r="F546" s="54"/>
      <c r="G546" s="54"/>
      <c r="H546" s="56"/>
      <c r="I546" s="56"/>
      <c r="R546" s="54"/>
      <c r="S546" s="54"/>
      <c r="T546" s="54"/>
      <c r="U546" s="54">
        <f t="shared" si="67"/>
        <v>0</v>
      </c>
      <c r="V546" s="54">
        <f t="shared" si="68"/>
        <v>0</v>
      </c>
      <c r="W546" s="54">
        <f t="shared" si="69"/>
        <v>0</v>
      </c>
    </row>
    <row r="547" spans="1:23" s="66" customFormat="1" hidden="1" x14ac:dyDescent="0.25">
      <c r="A547" s="52" t="str">
        <f t="shared" si="66"/>
        <v xml:space="preserve">    - очистка кровли от снега</v>
      </c>
      <c r="B547" s="52" t="str">
        <f t="shared" si="66"/>
        <v>244</v>
      </c>
      <c r="C547" s="52" t="str">
        <f t="shared" si="66"/>
        <v>225</v>
      </c>
      <c r="D547" s="53"/>
      <c r="E547" s="54"/>
      <c r="F547" s="54"/>
      <c r="G547" s="54"/>
      <c r="I547" s="67"/>
      <c r="R547" s="54"/>
      <c r="S547" s="54"/>
      <c r="T547" s="54"/>
      <c r="U547" s="54">
        <f t="shared" si="67"/>
        <v>0</v>
      </c>
      <c r="V547" s="54">
        <f t="shared" si="68"/>
        <v>0</v>
      </c>
      <c r="W547" s="54">
        <f t="shared" si="69"/>
        <v>0</v>
      </c>
    </row>
    <row r="548" spans="1:23" ht="27.6" hidden="1" x14ac:dyDescent="0.25">
      <c r="A548" s="52" t="str">
        <f t="shared" si="66"/>
        <v xml:space="preserve">    - текущий ремонт кровли, крыльца, заделка швов, асфальтирование территории</v>
      </c>
      <c r="B548" s="52" t="str">
        <f t="shared" si="66"/>
        <v>244</v>
      </c>
      <c r="C548" s="52" t="str">
        <f t="shared" si="66"/>
        <v>225</v>
      </c>
      <c r="D548" s="53"/>
      <c r="E548" s="54"/>
      <c r="F548" s="54"/>
      <c r="G548" s="54"/>
      <c r="H548" s="56"/>
      <c r="I548" s="56"/>
      <c r="R548" s="54"/>
      <c r="S548" s="54"/>
      <c r="T548" s="54"/>
      <c r="U548" s="54">
        <f t="shared" si="67"/>
        <v>0</v>
      </c>
      <c r="V548" s="54">
        <f t="shared" si="68"/>
        <v>0</v>
      </c>
      <c r="W548" s="54">
        <f t="shared" si="69"/>
        <v>0</v>
      </c>
    </row>
    <row r="549" spans="1:23" hidden="1" x14ac:dyDescent="0.25">
      <c r="A549" s="52" t="str">
        <f t="shared" si="66"/>
        <v xml:space="preserve">    - аварийно-техническое обслуживание зданий</v>
      </c>
      <c r="B549" s="52" t="str">
        <f t="shared" si="66"/>
        <v>244</v>
      </c>
      <c r="C549" s="52" t="str">
        <f t="shared" si="66"/>
        <v>225</v>
      </c>
      <c r="D549" s="53"/>
      <c r="E549" s="54"/>
      <c r="F549" s="54"/>
      <c r="G549" s="54"/>
      <c r="H549" s="56"/>
      <c r="I549" s="56"/>
      <c r="R549" s="54"/>
      <c r="S549" s="54"/>
      <c r="T549" s="54"/>
      <c r="U549" s="54">
        <f t="shared" si="67"/>
        <v>0</v>
      </c>
      <c r="V549" s="54">
        <f t="shared" si="68"/>
        <v>0</v>
      </c>
      <c r="W549" s="54">
        <f t="shared" si="69"/>
        <v>0</v>
      </c>
    </row>
    <row r="550" spans="1:23" ht="27.6" hidden="1" x14ac:dyDescent="0.25">
      <c r="A550" s="52" t="str">
        <f t="shared" si="66"/>
        <v xml:space="preserve">    - содержание мест общего пользования (ПЖРЭТ), взносы на кап.ремонт</v>
      </c>
      <c r="B550" s="52" t="str">
        <f t="shared" si="66"/>
        <v>244</v>
      </c>
      <c r="C550" s="52" t="str">
        <f t="shared" si="66"/>
        <v>225</v>
      </c>
      <c r="D550" s="53"/>
      <c r="E550" s="54"/>
      <c r="F550" s="54"/>
      <c r="G550" s="54"/>
      <c r="I550" s="56"/>
      <c r="R550" s="54"/>
      <c r="S550" s="54"/>
      <c r="T550" s="54"/>
      <c r="U550" s="54">
        <f t="shared" si="67"/>
        <v>0</v>
      </c>
      <c r="V550" s="54">
        <f t="shared" si="68"/>
        <v>0</v>
      </c>
      <c r="W550" s="54">
        <f t="shared" si="69"/>
        <v>0</v>
      </c>
    </row>
    <row r="551" spans="1:23" hidden="1" x14ac:dyDescent="0.25">
      <c r="A551" s="52" t="str">
        <f t="shared" ref="A551:C570" si="70">A101</f>
        <v xml:space="preserve">    - наружное освещение</v>
      </c>
      <c r="B551" s="52" t="str">
        <f t="shared" si="70"/>
        <v>244</v>
      </c>
      <c r="C551" s="52" t="str">
        <f t="shared" si="70"/>
        <v>225</v>
      </c>
      <c r="D551" s="53"/>
      <c r="E551" s="54"/>
      <c r="F551" s="54"/>
      <c r="G551" s="54"/>
      <c r="I551" s="56"/>
      <c r="R551" s="54"/>
      <c r="S551" s="54"/>
      <c r="T551" s="54"/>
      <c r="U551" s="54">
        <f t="shared" si="67"/>
        <v>0</v>
      </c>
      <c r="V551" s="54">
        <f t="shared" si="68"/>
        <v>0</v>
      </c>
      <c r="W551" s="54">
        <f t="shared" si="69"/>
        <v>0</v>
      </c>
    </row>
    <row r="552" spans="1:23" hidden="1" x14ac:dyDescent="0.25">
      <c r="A552" s="52" t="str">
        <f t="shared" si="70"/>
        <v xml:space="preserve">    - то приборов коммерческого учета</v>
      </c>
      <c r="B552" s="52" t="str">
        <f t="shared" si="70"/>
        <v>244</v>
      </c>
      <c r="C552" s="52" t="str">
        <f t="shared" si="70"/>
        <v>225</v>
      </c>
      <c r="D552" s="53"/>
      <c r="E552" s="54"/>
      <c r="F552" s="54"/>
      <c r="G552" s="54"/>
      <c r="I552" s="56"/>
      <c r="R552" s="54"/>
      <c r="S552" s="54"/>
      <c r="T552" s="54"/>
      <c r="U552" s="54">
        <f t="shared" si="67"/>
        <v>0</v>
      </c>
      <c r="V552" s="54">
        <f t="shared" si="68"/>
        <v>0</v>
      </c>
      <c r="W552" s="54">
        <f t="shared" si="69"/>
        <v>0</v>
      </c>
    </row>
    <row r="553" spans="1:23" hidden="1" x14ac:dyDescent="0.25">
      <c r="A553" s="52" t="str">
        <f t="shared" si="70"/>
        <v xml:space="preserve">    - дезинфекция</v>
      </c>
      <c r="B553" s="52" t="str">
        <f t="shared" si="70"/>
        <v>244</v>
      </c>
      <c r="C553" s="52" t="str">
        <f t="shared" si="70"/>
        <v>225</v>
      </c>
      <c r="D553" s="53"/>
      <c r="E553" s="54"/>
      <c r="F553" s="54"/>
      <c r="G553" s="54"/>
      <c r="I553" s="56"/>
      <c r="R553" s="54"/>
      <c r="S553" s="54"/>
      <c r="T553" s="54"/>
      <c r="U553" s="54">
        <f t="shared" si="67"/>
        <v>0</v>
      </c>
      <c r="V553" s="54">
        <f t="shared" si="68"/>
        <v>0</v>
      </c>
      <c r="W553" s="54">
        <f t="shared" si="69"/>
        <v>0</v>
      </c>
    </row>
    <row r="554" spans="1:23" hidden="1" x14ac:dyDescent="0.25">
      <c r="A554" s="52" t="str">
        <f t="shared" si="70"/>
        <v xml:space="preserve">    - то видеонаблюдения</v>
      </c>
      <c r="B554" s="52" t="str">
        <f t="shared" si="70"/>
        <v>244</v>
      </c>
      <c r="C554" s="52" t="str">
        <f t="shared" si="70"/>
        <v>225</v>
      </c>
      <c r="D554" s="53"/>
      <c r="E554" s="54"/>
      <c r="F554" s="54"/>
      <c r="G554" s="54"/>
      <c r="I554" s="56"/>
      <c r="R554" s="54"/>
      <c r="S554" s="54"/>
      <c r="T554" s="54"/>
      <c r="U554" s="54">
        <f t="shared" si="67"/>
        <v>0</v>
      </c>
      <c r="V554" s="54">
        <f t="shared" si="68"/>
        <v>0</v>
      </c>
      <c r="W554" s="54">
        <f t="shared" si="69"/>
        <v>0</v>
      </c>
    </row>
    <row r="555" spans="1:23" hidden="1" x14ac:dyDescent="0.25">
      <c r="A555" s="52" t="str">
        <f t="shared" si="70"/>
        <v xml:space="preserve">    - то пожарно-охранной сигнализации</v>
      </c>
      <c r="B555" s="52" t="str">
        <f t="shared" si="70"/>
        <v>244</v>
      </c>
      <c r="C555" s="52" t="str">
        <f t="shared" si="70"/>
        <v>225</v>
      </c>
      <c r="D555" s="53"/>
      <c r="E555" s="54"/>
      <c r="F555" s="54"/>
      <c r="G555" s="54"/>
      <c r="I555" s="56"/>
      <c r="R555" s="54"/>
      <c r="S555" s="54"/>
      <c r="T555" s="54"/>
      <c r="U555" s="54">
        <f t="shared" si="67"/>
        <v>0</v>
      </c>
      <c r="V555" s="54">
        <f t="shared" si="68"/>
        <v>0</v>
      </c>
      <c r="W555" s="54">
        <f t="shared" si="69"/>
        <v>0</v>
      </c>
    </row>
    <row r="556" spans="1:23" hidden="1" x14ac:dyDescent="0.25">
      <c r="A556" s="52" t="str">
        <f t="shared" si="70"/>
        <v xml:space="preserve">    - монтаж (регулировка) дверей/окон</v>
      </c>
      <c r="B556" s="52" t="str">
        <f t="shared" si="70"/>
        <v>244</v>
      </c>
      <c r="C556" s="52" t="str">
        <f t="shared" si="70"/>
        <v>225</v>
      </c>
      <c r="D556" s="53"/>
      <c r="E556" s="54"/>
      <c r="F556" s="54"/>
      <c r="G556" s="54"/>
      <c r="I556" s="56"/>
      <c r="R556" s="54"/>
      <c r="S556" s="54"/>
      <c r="T556" s="54"/>
      <c r="U556" s="54">
        <f t="shared" si="67"/>
        <v>0</v>
      </c>
      <c r="V556" s="54">
        <f t="shared" si="68"/>
        <v>0</v>
      </c>
      <c r="W556" s="54">
        <f t="shared" si="69"/>
        <v>0</v>
      </c>
    </row>
    <row r="557" spans="1:23" hidden="1" x14ac:dyDescent="0.25">
      <c r="A557" s="52" t="str">
        <f t="shared" si="70"/>
        <v xml:space="preserve">    - заправка картриджей</v>
      </c>
      <c r="B557" s="52" t="str">
        <f t="shared" si="70"/>
        <v>244</v>
      </c>
      <c r="C557" s="52" t="str">
        <f t="shared" si="70"/>
        <v>225</v>
      </c>
      <c r="D557" s="53"/>
      <c r="E557" s="54"/>
      <c r="F557" s="54"/>
      <c r="G557" s="54"/>
      <c r="I557" s="56"/>
      <c r="R557" s="54"/>
      <c r="S557" s="54"/>
      <c r="T557" s="54"/>
      <c r="U557" s="54">
        <f t="shared" si="67"/>
        <v>0</v>
      </c>
      <c r="V557" s="54">
        <f t="shared" si="68"/>
        <v>0</v>
      </c>
      <c r="W557" s="54">
        <f t="shared" si="69"/>
        <v>0</v>
      </c>
    </row>
    <row r="558" spans="1:23" ht="27.6" hidden="1" x14ac:dyDescent="0.25">
      <c r="A558" s="52" t="str">
        <f t="shared" si="70"/>
        <v xml:space="preserve">    - обслуживание кнопки тревожной сигнализации</v>
      </c>
      <c r="B558" s="52" t="str">
        <f t="shared" si="70"/>
        <v>244</v>
      </c>
      <c r="C558" s="52" t="str">
        <f t="shared" si="70"/>
        <v>225</v>
      </c>
      <c r="D558" s="53"/>
      <c r="E558" s="54"/>
      <c r="F558" s="54"/>
      <c r="G558" s="54"/>
      <c r="I558" s="56"/>
      <c r="R558" s="54"/>
      <c r="S558" s="54"/>
      <c r="T558" s="54"/>
      <c r="U558" s="54">
        <f t="shared" si="67"/>
        <v>0</v>
      </c>
      <c r="V558" s="54">
        <f t="shared" si="68"/>
        <v>0</v>
      </c>
      <c r="W558" s="54">
        <f t="shared" si="69"/>
        <v>0</v>
      </c>
    </row>
    <row r="559" spans="1:23" hidden="1" x14ac:dyDescent="0.25">
      <c r="A559" s="52" t="str">
        <f t="shared" si="70"/>
        <v xml:space="preserve">    - то компьютерного оборудования</v>
      </c>
      <c r="B559" s="52" t="str">
        <f t="shared" si="70"/>
        <v>244</v>
      </c>
      <c r="C559" s="52" t="str">
        <f t="shared" si="70"/>
        <v>225</v>
      </c>
      <c r="D559" s="53"/>
      <c r="E559" s="54"/>
      <c r="F559" s="54"/>
      <c r="G559" s="54"/>
      <c r="I559" s="56"/>
      <c r="R559" s="54"/>
      <c r="S559" s="54"/>
      <c r="T559" s="54"/>
      <c r="U559" s="54">
        <f t="shared" si="67"/>
        <v>0</v>
      </c>
      <c r="V559" s="54">
        <f t="shared" si="68"/>
        <v>0</v>
      </c>
      <c r="W559" s="54">
        <f t="shared" si="69"/>
        <v>0</v>
      </c>
    </row>
    <row r="560" spans="1:23" hidden="1" x14ac:dyDescent="0.25">
      <c r="A560" s="52" t="str">
        <f t="shared" si="70"/>
        <v xml:space="preserve">    - Химчистка</v>
      </c>
      <c r="B560" s="52" t="str">
        <f t="shared" si="70"/>
        <v>244</v>
      </c>
      <c r="C560" s="52" t="str">
        <f t="shared" si="70"/>
        <v>225</v>
      </c>
      <c r="D560" s="53"/>
      <c r="E560" s="54"/>
      <c r="F560" s="54"/>
      <c r="G560" s="54"/>
      <c r="I560" s="56"/>
      <c r="R560" s="54"/>
      <c r="S560" s="54"/>
      <c r="T560" s="54"/>
      <c r="U560" s="54">
        <f t="shared" si="67"/>
        <v>0</v>
      </c>
      <c r="V560" s="54">
        <f t="shared" si="68"/>
        <v>0</v>
      </c>
      <c r="W560" s="54">
        <f t="shared" si="69"/>
        <v>0</v>
      </c>
    </row>
    <row r="561" spans="1:23" hidden="1" x14ac:dyDescent="0.25">
      <c r="A561" s="52" t="str">
        <f t="shared" si="70"/>
        <v xml:space="preserve">    - поверка средств имерения</v>
      </c>
      <c r="B561" s="52" t="str">
        <f t="shared" si="70"/>
        <v>244</v>
      </c>
      <c r="C561" s="52" t="str">
        <f t="shared" si="70"/>
        <v>225</v>
      </c>
      <c r="D561" s="53"/>
      <c r="E561" s="54"/>
      <c r="F561" s="54"/>
      <c r="G561" s="54"/>
      <c r="I561" s="56"/>
      <c r="R561" s="54"/>
      <c r="S561" s="54"/>
      <c r="T561" s="54"/>
      <c r="U561" s="54">
        <f t="shared" si="67"/>
        <v>0</v>
      </c>
      <c r="V561" s="54">
        <f t="shared" si="68"/>
        <v>0</v>
      </c>
      <c r="W561" s="54">
        <f t="shared" si="69"/>
        <v>0</v>
      </c>
    </row>
    <row r="562" spans="1:23" hidden="1" x14ac:dyDescent="0.25">
      <c r="A562" s="52" t="str">
        <f t="shared" si="70"/>
        <v xml:space="preserve">    - вывоз ТКО</v>
      </c>
      <c r="B562" s="52" t="str">
        <f t="shared" si="70"/>
        <v>244</v>
      </c>
      <c r="C562" s="52" t="str">
        <f t="shared" si="70"/>
        <v>225</v>
      </c>
      <c r="D562" s="53"/>
      <c r="E562" s="54"/>
      <c r="F562" s="54"/>
      <c r="G562" s="54"/>
      <c r="I562" s="56"/>
      <c r="R562" s="54"/>
      <c r="S562" s="54"/>
      <c r="T562" s="54"/>
      <c r="U562" s="54">
        <f t="shared" si="67"/>
        <v>0</v>
      </c>
      <c r="V562" s="54">
        <f t="shared" si="68"/>
        <v>0</v>
      </c>
      <c r="W562" s="54">
        <f t="shared" si="69"/>
        <v>0</v>
      </c>
    </row>
    <row r="563" spans="1:23" hidden="1" x14ac:dyDescent="0.25">
      <c r="A563" s="52" t="str">
        <f t="shared" si="70"/>
        <v xml:space="preserve">    - текущий ремонт оборудования</v>
      </c>
      <c r="B563" s="52" t="str">
        <f t="shared" si="70"/>
        <v>244</v>
      </c>
      <c r="C563" s="52" t="str">
        <f t="shared" si="70"/>
        <v>225</v>
      </c>
      <c r="D563" s="53"/>
      <c r="E563" s="54"/>
      <c r="F563" s="54"/>
      <c r="G563" s="54"/>
      <c r="I563" s="56"/>
      <c r="R563" s="54"/>
      <c r="S563" s="54"/>
      <c r="T563" s="54"/>
      <c r="U563" s="54">
        <f t="shared" si="67"/>
        <v>0</v>
      </c>
      <c r="V563" s="54">
        <f t="shared" si="68"/>
        <v>0</v>
      </c>
      <c r="W563" s="54">
        <f t="shared" si="69"/>
        <v>0</v>
      </c>
    </row>
    <row r="564" spans="1:23" hidden="1" x14ac:dyDescent="0.25">
      <c r="A564" s="52" t="str">
        <f t="shared" si="70"/>
        <v xml:space="preserve">    - испытание диэлектрических средств защиты</v>
      </c>
      <c r="B564" s="52" t="str">
        <f t="shared" si="70"/>
        <v>244</v>
      </c>
      <c r="C564" s="52" t="str">
        <f t="shared" si="70"/>
        <v>225</v>
      </c>
      <c r="D564" s="53"/>
      <c r="E564" s="54"/>
      <c r="F564" s="54"/>
      <c r="G564" s="54"/>
      <c r="I564" s="56"/>
      <c r="R564" s="54"/>
      <c r="S564" s="54"/>
      <c r="T564" s="54"/>
      <c r="U564" s="54">
        <f t="shared" si="67"/>
        <v>0</v>
      </c>
      <c r="V564" s="54">
        <f t="shared" si="68"/>
        <v>0</v>
      </c>
      <c r="W564" s="54">
        <f t="shared" si="69"/>
        <v>0</v>
      </c>
    </row>
    <row r="565" spans="1:23" hidden="1" x14ac:dyDescent="0.25">
      <c r="A565" s="52" t="str">
        <f t="shared" si="70"/>
        <v xml:space="preserve">    - гидравлические испытания пожарных рукавов</v>
      </c>
      <c r="B565" s="52" t="str">
        <f t="shared" si="70"/>
        <v>244</v>
      </c>
      <c r="C565" s="52" t="str">
        <f t="shared" si="70"/>
        <v>225</v>
      </c>
      <c r="D565" s="53"/>
      <c r="E565" s="54"/>
      <c r="F565" s="54"/>
      <c r="G565" s="54"/>
      <c r="I565" s="56"/>
      <c r="R565" s="54"/>
      <c r="S565" s="54"/>
      <c r="T565" s="54"/>
      <c r="U565" s="54">
        <f t="shared" si="67"/>
        <v>0</v>
      </c>
      <c r="V565" s="54">
        <f t="shared" si="68"/>
        <v>0</v>
      </c>
      <c r="W565" s="54">
        <f t="shared" si="69"/>
        <v>0</v>
      </c>
    </row>
    <row r="566" spans="1:23" hidden="1" x14ac:dyDescent="0.25">
      <c r="A566" s="52" t="str">
        <f t="shared" si="70"/>
        <v xml:space="preserve">    - монтаж уличного освещения</v>
      </c>
      <c r="B566" s="52" t="str">
        <f t="shared" si="70"/>
        <v>244</v>
      </c>
      <c r="C566" s="52" t="str">
        <f t="shared" si="70"/>
        <v>225</v>
      </c>
      <c r="D566" s="53"/>
      <c r="E566" s="54"/>
      <c r="F566" s="54"/>
      <c r="G566" s="54"/>
      <c r="I566" s="56"/>
      <c r="R566" s="54"/>
      <c r="S566" s="54"/>
      <c r="T566" s="54"/>
      <c r="U566" s="54">
        <f t="shared" si="67"/>
        <v>0</v>
      </c>
      <c r="V566" s="54">
        <f t="shared" si="68"/>
        <v>0</v>
      </c>
      <c r="W566" s="54">
        <f t="shared" si="69"/>
        <v>0</v>
      </c>
    </row>
    <row r="567" spans="1:23" hidden="1" x14ac:dyDescent="0.25">
      <c r="A567" s="52" t="str">
        <f t="shared" si="70"/>
        <v xml:space="preserve">    - противоклещевая обработка</v>
      </c>
      <c r="B567" s="52" t="str">
        <f t="shared" si="70"/>
        <v>244</v>
      </c>
      <c r="C567" s="52" t="str">
        <f t="shared" si="70"/>
        <v>225</v>
      </c>
      <c r="D567" s="53"/>
      <c r="E567" s="54"/>
      <c r="F567" s="54"/>
      <c r="G567" s="54"/>
      <c r="I567" s="56"/>
      <c r="R567" s="54"/>
      <c r="S567" s="54"/>
      <c r="T567" s="54"/>
      <c r="U567" s="54">
        <f t="shared" si="67"/>
        <v>0</v>
      </c>
      <c r="V567" s="54">
        <f t="shared" si="68"/>
        <v>0</v>
      </c>
      <c r="W567" s="54">
        <f t="shared" si="69"/>
        <v>0</v>
      </c>
    </row>
    <row r="568" spans="1:23" hidden="1" x14ac:dyDescent="0.25">
      <c r="A568" s="52" t="str">
        <f t="shared" si="70"/>
        <v xml:space="preserve">    - сервисное обслуживание приборов тепла</v>
      </c>
      <c r="B568" s="52" t="str">
        <f t="shared" si="70"/>
        <v>244</v>
      </c>
      <c r="C568" s="52" t="str">
        <f t="shared" si="70"/>
        <v>225</v>
      </c>
      <c r="D568" s="53"/>
      <c r="E568" s="54"/>
      <c r="F568" s="54"/>
      <c r="G568" s="54"/>
      <c r="I568" s="56"/>
      <c r="R568" s="54"/>
      <c r="S568" s="54"/>
      <c r="T568" s="54"/>
      <c r="U568" s="54">
        <f t="shared" ref="U568:U592" si="71">E568-R568</f>
        <v>0</v>
      </c>
      <c r="V568" s="54">
        <f t="shared" ref="V568:V592" si="72">F568-S568</f>
        <v>0</v>
      </c>
      <c r="W568" s="54">
        <f t="shared" ref="W568:W592" si="73">G568-T568</f>
        <v>0</v>
      </c>
    </row>
    <row r="569" spans="1:23" s="45" customFormat="1" hidden="1" x14ac:dyDescent="0.25">
      <c r="A569" s="52" t="str">
        <f t="shared" si="70"/>
        <v xml:space="preserve"> - прочие работы, услуги, всего:</v>
      </c>
      <c r="B569" s="52" t="str">
        <f t="shared" si="70"/>
        <v>244</v>
      </c>
      <c r="C569" s="52" t="str">
        <f t="shared" si="70"/>
        <v>226</v>
      </c>
      <c r="D569" s="104"/>
      <c r="E569" s="62">
        <f>SUM(E570:E585)</f>
        <v>0</v>
      </c>
      <c r="F569" s="62">
        <f>SUM(F570:F585)</f>
        <v>0</v>
      </c>
      <c r="G569" s="62">
        <f>SUM(G570:G585)</f>
        <v>0</v>
      </c>
      <c r="H569" s="63"/>
      <c r="I569" s="63"/>
      <c r="R569" s="62"/>
      <c r="S569" s="62"/>
      <c r="T569" s="62"/>
      <c r="U569" s="62">
        <f t="shared" si="71"/>
        <v>0</v>
      </c>
      <c r="V569" s="62">
        <f t="shared" si="72"/>
        <v>0</v>
      </c>
      <c r="W569" s="62">
        <f t="shared" si="73"/>
        <v>0</v>
      </c>
    </row>
    <row r="570" spans="1:23" s="58" customFormat="1" hidden="1" x14ac:dyDescent="0.25">
      <c r="A570" s="52" t="str">
        <f t="shared" si="70"/>
        <v xml:space="preserve">    - специальная оценка условий труда</v>
      </c>
      <c r="B570" s="52" t="str">
        <f t="shared" si="70"/>
        <v>244</v>
      </c>
      <c r="C570" s="52" t="str">
        <f t="shared" si="70"/>
        <v>226</v>
      </c>
      <c r="D570" s="53"/>
      <c r="E570" s="54"/>
      <c r="F570" s="54"/>
      <c r="G570" s="54"/>
      <c r="H570" s="49"/>
      <c r="I570" s="56"/>
      <c r="R570" s="54"/>
      <c r="S570" s="54"/>
      <c r="T570" s="54"/>
      <c r="U570" s="54">
        <f t="shared" si="71"/>
        <v>0</v>
      </c>
      <c r="V570" s="54">
        <f t="shared" si="72"/>
        <v>0</v>
      </c>
      <c r="W570" s="54">
        <f t="shared" si="73"/>
        <v>0</v>
      </c>
    </row>
    <row r="571" spans="1:23" s="58" customFormat="1" ht="27.6" hidden="1" x14ac:dyDescent="0.25">
      <c r="A571" s="52" t="str">
        <f t="shared" ref="A571:C590" si="74">A121</f>
        <v xml:space="preserve">    - услуги автотранспорта (доставка строительных материалов, вывоз веток и пр.)</v>
      </c>
      <c r="B571" s="52" t="str">
        <f t="shared" si="74"/>
        <v>244</v>
      </c>
      <c r="C571" s="52" t="str">
        <f t="shared" si="74"/>
        <v>226</v>
      </c>
      <c r="D571" s="53"/>
      <c r="E571" s="54"/>
      <c r="F571" s="54"/>
      <c r="G571" s="54"/>
      <c r="H571" s="49"/>
      <c r="I571" s="56"/>
      <c r="R571" s="54"/>
      <c r="S571" s="54"/>
      <c r="T571" s="54"/>
      <c r="U571" s="54">
        <f t="shared" si="71"/>
        <v>0</v>
      </c>
      <c r="V571" s="54">
        <f t="shared" si="72"/>
        <v>0</v>
      </c>
      <c r="W571" s="54">
        <f t="shared" si="73"/>
        <v>0</v>
      </c>
    </row>
    <row r="572" spans="1:23" s="58" customFormat="1" hidden="1" x14ac:dyDescent="0.25">
      <c r="A572" s="52" t="str">
        <f t="shared" si="74"/>
        <v xml:space="preserve">    - ПО (СБИС)</v>
      </c>
      <c r="B572" s="52" t="str">
        <f t="shared" si="74"/>
        <v>244</v>
      </c>
      <c r="C572" s="52" t="str">
        <f t="shared" si="74"/>
        <v>226</v>
      </c>
      <c r="D572" s="53"/>
      <c r="E572" s="54"/>
      <c r="F572" s="54"/>
      <c r="G572" s="54"/>
      <c r="H572" s="49"/>
      <c r="I572" s="56"/>
      <c r="R572" s="54"/>
      <c r="S572" s="54"/>
      <c r="T572" s="54"/>
      <c r="U572" s="54">
        <f t="shared" si="71"/>
        <v>0</v>
      </c>
      <c r="V572" s="54">
        <f t="shared" si="72"/>
        <v>0</v>
      </c>
      <c r="W572" s="54">
        <f t="shared" si="73"/>
        <v>0</v>
      </c>
    </row>
    <row r="573" spans="1:23" s="58" customFormat="1" hidden="1" x14ac:dyDescent="0.25">
      <c r="A573" s="52" t="str">
        <f t="shared" si="74"/>
        <v xml:space="preserve">    - организация питания</v>
      </c>
      <c r="B573" s="52" t="str">
        <f t="shared" si="74"/>
        <v>244</v>
      </c>
      <c r="C573" s="52" t="str">
        <f t="shared" si="74"/>
        <v>226</v>
      </c>
      <c r="D573" s="53"/>
      <c r="E573" s="54"/>
      <c r="F573" s="54"/>
      <c r="G573" s="54"/>
      <c r="H573" s="49"/>
      <c r="I573" s="56"/>
      <c r="R573" s="54"/>
      <c r="S573" s="54"/>
      <c r="T573" s="54"/>
      <c r="U573" s="54">
        <f t="shared" si="71"/>
        <v>0</v>
      </c>
      <c r="V573" s="54">
        <f t="shared" si="72"/>
        <v>0</v>
      </c>
      <c r="W573" s="54">
        <f t="shared" si="73"/>
        <v>0</v>
      </c>
    </row>
    <row r="574" spans="1:23" s="58" customFormat="1" ht="27.6" hidden="1" x14ac:dyDescent="0.25">
      <c r="A574" s="52" t="str">
        <f t="shared" si="74"/>
        <v xml:space="preserve">    - расчет проектно-сметной документации (ремонт крыльца, речевое оповещение)</v>
      </c>
      <c r="B574" s="52" t="str">
        <f t="shared" si="74"/>
        <v>244</v>
      </c>
      <c r="C574" s="52" t="str">
        <f t="shared" si="74"/>
        <v>226</v>
      </c>
      <c r="D574" s="53"/>
      <c r="E574" s="54"/>
      <c r="F574" s="54"/>
      <c r="G574" s="54"/>
      <c r="H574" s="49"/>
      <c r="I574" s="56"/>
      <c r="R574" s="54"/>
      <c r="S574" s="54"/>
      <c r="T574" s="54"/>
      <c r="U574" s="54">
        <f t="shared" si="71"/>
        <v>0</v>
      </c>
      <c r="V574" s="54">
        <f t="shared" si="72"/>
        <v>0</v>
      </c>
      <c r="W574" s="54">
        <f t="shared" si="73"/>
        <v>0</v>
      </c>
    </row>
    <row r="575" spans="1:23" s="58" customFormat="1" hidden="1" x14ac:dyDescent="0.25">
      <c r="A575" s="52" t="str">
        <f t="shared" si="74"/>
        <v xml:space="preserve">    - оплата услуг бухгалтерии</v>
      </c>
      <c r="B575" s="52" t="str">
        <f t="shared" si="74"/>
        <v>244</v>
      </c>
      <c r="C575" s="52" t="str">
        <f t="shared" si="74"/>
        <v>226</v>
      </c>
      <c r="D575" s="53"/>
      <c r="E575" s="54"/>
      <c r="F575" s="54"/>
      <c r="G575" s="54"/>
      <c r="H575" s="49"/>
      <c r="I575" s="56"/>
      <c r="R575" s="54"/>
      <c r="S575" s="54"/>
      <c r="T575" s="54"/>
      <c r="U575" s="54">
        <f t="shared" si="71"/>
        <v>0</v>
      </c>
      <c r="V575" s="54">
        <f t="shared" si="72"/>
        <v>0</v>
      </c>
      <c r="W575" s="54">
        <f t="shared" si="73"/>
        <v>0</v>
      </c>
    </row>
    <row r="576" spans="1:23" s="58" customFormat="1" hidden="1" x14ac:dyDescent="0.25">
      <c r="A576" s="52" t="str">
        <f t="shared" si="74"/>
        <v xml:space="preserve">    - услуги банка</v>
      </c>
      <c r="B576" s="52" t="str">
        <f t="shared" si="74"/>
        <v>244</v>
      </c>
      <c r="C576" s="52" t="str">
        <f t="shared" si="74"/>
        <v>226</v>
      </c>
      <c r="D576" s="53"/>
      <c r="E576" s="54"/>
      <c r="F576" s="54"/>
      <c r="G576" s="54"/>
      <c r="H576" s="49"/>
      <c r="I576" s="56"/>
      <c r="R576" s="54"/>
      <c r="S576" s="54"/>
      <c r="T576" s="54"/>
      <c r="U576" s="54">
        <f t="shared" si="71"/>
        <v>0</v>
      </c>
      <c r="V576" s="54">
        <f t="shared" si="72"/>
        <v>0</v>
      </c>
      <c r="W576" s="54">
        <f t="shared" si="73"/>
        <v>0</v>
      </c>
    </row>
    <row r="577" spans="1:23" s="58" customFormat="1" hidden="1" x14ac:dyDescent="0.25">
      <c r="A577" s="52" t="str">
        <f t="shared" si="74"/>
        <v xml:space="preserve">    - обслуживание компьютерных программ</v>
      </c>
      <c r="B577" s="52" t="str">
        <f t="shared" si="74"/>
        <v>244</v>
      </c>
      <c r="C577" s="52" t="str">
        <f t="shared" si="74"/>
        <v>226</v>
      </c>
      <c r="D577" s="53"/>
      <c r="E577" s="54"/>
      <c r="F577" s="54"/>
      <c r="G577" s="54"/>
      <c r="H577" s="49"/>
      <c r="I577" s="56"/>
      <c r="R577" s="54"/>
      <c r="S577" s="54"/>
      <c r="T577" s="54"/>
      <c r="U577" s="54">
        <f t="shared" si="71"/>
        <v>0</v>
      </c>
      <c r="V577" s="54">
        <f t="shared" si="72"/>
        <v>0</v>
      </c>
      <c r="W577" s="54">
        <f t="shared" si="73"/>
        <v>0</v>
      </c>
    </row>
    <row r="578" spans="1:23" hidden="1" x14ac:dyDescent="0.25">
      <c r="A578" s="52" t="str">
        <f t="shared" si="74"/>
        <v xml:space="preserve">    - установка сигнализации</v>
      </c>
      <c r="B578" s="52" t="str">
        <f t="shared" si="74"/>
        <v>244</v>
      </c>
      <c r="C578" s="52" t="str">
        <f t="shared" si="74"/>
        <v>226</v>
      </c>
      <c r="D578" s="53"/>
      <c r="E578" s="54"/>
      <c r="F578" s="54"/>
      <c r="G578" s="54"/>
      <c r="I578" s="56"/>
      <c r="R578" s="54"/>
      <c r="S578" s="54"/>
      <c r="T578" s="54"/>
      <c r="U578" s="54">
        <f t="shared" si="71"/>
        <v>0</v>
      </c>
      <c r="V578" s="54">
        <f t="shared" si="72"/>
        <v>0</v>
      </c>
      <c r="W578" s="54">
        <f t="shared" si="73"/>
        <v>0</v>
      </c>
    </row>
    <row r="579" spans="1:23" hidden="1" x14ac:dyDescent="0.25">
      <c r="A579" s="52" t="str">
        <f t="shared" si="74"/>
        <v xml:space="preserve">    - оказание консалтинговых услуг</v>
      </c>
      <c r="B579" s="52" t="str">
        <f t="shared" si="74"/>
        <v>244</v>
      </c>
      <c r="C579" s="52" t="str">
        <f t="shared" si="74"/>
        <v>226</v>
      </c>
      <c r="D579" s="53"/>
      <c r="E579" s="54"/>
      <c r="F579" s="54"/>
      <c r="G579" s="54"/>
      <c r="I579" s="56"/>
      <c r="R579" s="54"/>
      <c r="S579" s="54"/>
      <c r="T579" s="54"/>
      <c r="U579" s="54">
        <f t="shared" si="71"/>
        <v>0</v>
      </c>
      <c r="V579" s="54">
        <f t="shared" si="72"/>
        <v>0</v>
      </c>
      <c r="W579" s="54">
        <f t="shared" si="73"/>
        <v>0</v>
      </c>
    </row>
    <row r="580" spans="1:23" ht="27.6" hidden="1" x14ac:dyDescent="0.25">
      <c r="A580" s="52" t="str">
        <f t="shared" si="74"/>
        <v xml:space="preserve">    - монтаж решетчатой металлической двери в тепловом узле</v>
      </c>
      <c r="B580" s="52" t="str">
        <f t="shared" si="74"/>
        <v>244</v>
      </c>
      <c r="C580" s="52" t="str">
        <f t="shared" si="74"/>
        <v>226</v>
      </c>
      <c r="D580" s="53"/>
      <c r="E580" s="54"/>
      <c r="F580" s="54"/>
      <c r="G580" s="54"/>
      <c r="I580" s="56"/>
      <c r="R580" s="54"/>
      <c r="S580" s="54"/>
      <c r="T580" s="54"/>
      <c r="U580" s="54">
        <f t="shared" si="71"/>
        <v>0</v>
      </c>
      <c r="V580" s="54">
        <f t="shared" si="72"/>
        <v>0</v>
      </c>
      <c r="W580" s="54">
        <f t="shared" si="73"/>
        <v>0</v>
      </c>
    </row>
    <row r="581" spans="1:23" hidden="1" x14ac:dyDescent="0.25">
      <c r="A581" s="52" t="str">
        <f t="shared" si="74"/>
        <v xml:space="preserve">    - мониторинг охранно-пожарной сигнализации</v>
      </c>
      <c r="B581" s="52" t="str">
        <f t="shared" si="74"/>
        <v>244</v>
      </c>
      <c r="C581" s="52" t="str">
        <f t="shared" si="74"/>
        <v>226</v>
      </c>
      <c r="D581" s="53"/>
      <c r="E581" s="54"/>
      <c r="F581" s="54"/>
      <c r="G581" s="54"/>
      <c r="I581" s="56"/>
      <c r="R581" s="54"/>
      <c r="S581" s="54"/>
      <c r="T581" s="54"/>
      <c r="U581" s="54">
        <f t="shared" si="71"/>
        <v>0</v>
      </c>
      <c r="V581" s="54">
        <f t="shared" si="72"/>
        <v>0</v>
      </c>
      <c r="W581" s="54">
        <f t="shared" si="73"/>
        <v>0</v>
      </c>
    </row>
    <row r="582" spans="1:23" hidden="1" x14ac:dyDescent="0.25">
      <c r="A582" s="52" t="str">
        <f t="shared" si="74"/>
        <v xml:space="preserve">    - переплет документов</v>
      </c>
      <c r="B582" s="52" t="str">
        <f t="shared" si="74"/>
        <v>244</v>
      </c>
      <c r="C582" s="52" t="str">
        <f t="shared" si="74"/>
        <v>226</v>
      </c>
      <c r="D582" s="53"/>
      <c r="E582" s="54"/>
      <c r="F582" s="54"/>
      <c r="G582" s="54"/>
      <c r="I582" s="56"/>
      <c r="R582" s="54"/>
      <c r="S582" s="54"/>
      <c r="T582" s="54"/>
      <c r="U582" s="54">
        <f t="shared" si="71"/>
        <v>0</v>
      </c>
      <c r="V582" s="54">
        <f t="shared" si="72"/>
        <v>0</v>
      </c>
      <c r="W582" s="54">
        <f t="shared" si="73"/>
        <v>0</v>
      </c>
    </row>
    <row r="583" spans="1:23" hidden="1" x14ac:dyDescent="0.25">
      <c r="A583" s="52" t="str">
        <f t="shared" si="74"/>
        <v xml:space="preserve">    - вневедомственная охрана</v>
      </c>
      <c r="B583" s="52" t="str">
        <f t="shared" si="74"/>
        <v>244</v>
      </c>
      <c r="C583" s="52" t="str">
        <f t="shared" si="74"/>
        <v>226</v>
      </c>
      <c r="D583" s="53"/>
      <c r="E583" s="54"/>
      <c r="F583" s="54"/>
      <c r="G583" s="54"/>
      <c r="I583" s="56"/>
      <c r="R583" s="54"/>
      <c r="S583" s="54"/>
      <c r="T583" s="54"/>
      <c r="U583" s="54">
        <f t="shared" si="71"/>
        <v>0</v>
      </c>
      <c r="V583" s="54">
        <f t="shared" si="72"/>
        <v>0</v>
      </c>
      <c r="W583" s="54">
        <f t="shared" si="73"/>
        <v>0</v>
      </c>
    </row>
    <row r="584" spans="1:23" hidden="1" x14ac:dyDescent="0.25">
      <c r="A584" s="52" t="str">
        <f t="shared" si="74"/>
        <v xml:space="preserve">    - лицензированная охрана</v>
      </c>
      <c r="B584" s="52" t="str">
        <f t="shared" si="74"/>
        <v>244</v>
      </c>
      <c r="C584" s="52" t="str">
        <f t="shared" si="74"/>
        <v>226</v>
      </c>
      <c r="D584" s="53"/>
      <c r="E584" s="54"/>
      <c r="F584" s="54"/>
      <c r="G584" s="54"/>
      <c r="I584" s="56"/>
      <c r="R584" s="54"/>
      <c r="S584" s="54"/>
      <c r="T584" s="54"/>
      <c r="U584" s="54">
        <f t="shared" si="71"/>
        <v>0</v>
      </c>
      <c r="V584" s="54">
        <f t="shared" si="72"/>
        <v>0</v>
      </c>
      <c r="W584" s="54">
        <f t="shared" si="73"/>
        <v>0</v>
      </c>
    </row>
    <row r="585" spans="1:23" hidden="1" x14ac:dyDescent="0.25">
      <c r="A585" s="52" t="str">
        <f t="shared" si="74"/>
        <v xml:space="preserve">    - курсы повышения квалификации</v>
      </c>
      <c r="B585" s="52" t="str">
        <f t="shared" si="74"/>
        <v>244</v>
      </c>
      <c r="C585" s="52" t="str">
        <f t="shared" si="74"/>
        <v>226</v>
      </c>
      <c r="D585" s="53"/>
      <c r="E585" s="54"/>
      <c r="F585" s="54"/>
      <c r="G585" s="54"/>
      <c r="I585" s="56"/>
      <c r="R585" s="54"/>
      <c r="S585" s="54"/>
      <c r="T585" s="54"/>
      <c r="U585" s="54">
        <f t="shared" si="71"/>
        <v>0</v>
      </c>
      <c r="V585" s="54">
        <f t="shared" si="72"/>
        <v>0</v>
      </c>
      <c r="W585" s="54">
        <f t="shared" si="73"/>
        <v>0</v>
      </c>
    </row>
    <row r="586" spans="1:23" hidden="1" x14ac:dyDescent="0.25">
      <c r="A586" s="52" t="str">
        <f t="shared" si="74"/>
        <v xml:space="preserve">    - монтаж охранно-пожарной сигнализации</v>
      </c>
      <c r="B586" s="52" t="str">
        <f t="shared" si="74"/>
        <v>244</v>
      </c>
      <c r="C586" s="52" t="str">
        <f t="shared" si="74"/>
        <v>228</v>
      </c>
      <c r="D586" s="53"/>
      <c r="E586" s="54"/>
      <c r="F586" s="54"/>
      <c r="G586" s="54"/>
      <c r="I586" s="56"/>
      <c r="R586" s="54"/>
      <c r="S586" s="54"/>
      <c r="T586" s="54"/>
      <c r="U586" s="54">
        <f t="shared" si="71"/>
        <v>0</v>
      </c>
      <c r="V586" s="54">
        <f t="shared" si="72"/>
        <v>0</v>
      </c>
      <c r="W586" s="54">
        <f t="shared" si="73"/>
        <v>0</v>
      </c>
    </row>
    <row r="587" spans="1:23" ht="27.6" hidden="1" x14ac:dyDescent="0.25">
      <c r="A587" s="52" t="str">
        <f t="shared" si="74"/>
        <v xml:space="preserve"> - выплаты ув.сотрудникам и их родственникам (3 дн.б/л, МП)</v>
      </c>
      <c r="B587" s="52" t="str">
        <f t="shared" si="74"/>
        <v>321</v>
      </c>
      <c r="C587" s="52" t="str">
        <f t="shared" si="74"/>
        <v>264</v>
      </c>
      <c r="D587" s="60" t="s">
        <v>37</v>
      </c>
      <c r="E587" s="54"/>
      <c r="F587" s="54"/>
      <c r="G587" s="54"/>
      <c r="I587" s="56"/>
      <c r="R587" s="54"/>
      <c r="S587" s="54"/>
      <c r="T587" s="54"/>
      <c r="U587" s="54">
        <f t="shared" si="71"/>
        <v>0</v>
      </c>
      <c r="V587" s="54">
        <f t="shared" si="72"/>
        <v>0</v>
      </c>
      <c r="W587" s="54">
        <f t="shared" si="73"/>
        <v>0</v>
      </c>
    </row>
    <row r="588" spans="1:23" hidden="1" x14ac:dyDescent="0.25">
      <c r="A588" s="52" t="str">
        <f t="shared" si="74"/>
        <v xml:space="preserve"> - выплата МП неработающим пенсионерам</v>
      </c>
      <c r="B588" s="52" t="str">
        <f t="shared" si="74"/>
        <v>321</v>
      </c>
      <c r="C588" s="52" t="str">
        <f t="shared" si="74"/>
        <v>296</v>
      </c>
      <c r="D588" s="60" t="s">
        <v>37</v>
      </c>
      <c r="E588" s="54"/>
      <c r="F588" s="54"/>
      <c r="G588" s="54"/>
      <c r="I588" s="56"/>
      <c r="R588" s="54"/>
      <c r="S588" s="54"/>
      <c r="T588" s="54"/>
      <c r="U588" s="54">
        <f t="shared" si="71"/>
        <v>0</v>
      </c>
      <c r="V588" s="54">
        <f t="shared" si="72"/>
        <v>0</v>
      </c>
      <c r="W588" s="54">
        <f t="shared" si="73"/>
        <v>0</v>
      </c>
    </row>
    <row r="589" spans="1:23" s="58" customFormat="1" hidden="1" x14ac:dyDescent="0.25">
      <c r="A589" s="52" t="str">
        <f t="shared" si="74"/>
        <v xml:space="preserve"> - прочие налоги и сборы</v>
      </c>
      <c r="B589" s="52" t="str">
        <f t="shared" si="74"/>
        <v>852</v>
      </c>
      <c r="C589" s="52" t="str">
        <f t="shared" si="74"/>
        <v>291</v>
      </c>
      <c r="D589" s="53" t="s">
        <v>37</v>
      </c>
      <c r="E589" s="54"/>
      <c r="F589" s="54"/>
      <c r="G589" s="54"/>
      <c r="H589" s="57"/>
      <c r="I589" s="57"/>
      <c r="R589" s="54"/>
      <c r="S589" s="54"/>
      <c r="T589" s="54"/>
      <c r="U589" s="54">
        <f t="shared" si="71"/>
        <v>0</v>
      </c>
      <c r="V589" s="54">
        <f t="shared" si="72"/>
        <v>0</v>
      </c>
      <c r="W589" s="54">
        <f t="shared" si="73"/>
        <v>0</v>
      </c>
    </row>
    <row r="590" spans="1:23" s="58" customFormat="1" ht="41.4" hidden="1" x14ac:dyDescent="0.25">
      <c r="A590" s="52" t="str">
        <f t="shared" si="74"/>
        <v xml:space="preserve"> - пеня</v>
      </c>
      <c r="B590" s="52" t="str">
        <f t="shared" si="74"/>
        <v>853</v>
      </c>
      <c r="C590" s="52" t="str">
        <f t="shared" si="74"/>
        <v>292,
295,
293</v>
      </c>
      <c r="D590" s="53" t="s">
        <v>37</v>
      </c>
      <c r="E590" s="54"/>
      <c r="F590" s="54"/>
      <c r="G590" s="54"/>
      <c r="I590" s="57"/>
      <c r="R590" s="54"/>
      <c r="S590" s="54"/>
      <c r="T590" s="54"/>
      <c r="U590" s="54">
        <f t="shared" si="71"/>
        <v>0</v>
      </c>
      <c r="V590" s="54">
        <f t="shared" si="72"/>
        <v>0</v>
      </c>
      <c r="W590" s="54">
        <f t="shared" si="73"/>
        <v>0</v>
      </c>
    </row>
    <row r="591" spans="1:23" hidden="1" x14ac:dyDescent="0.25">
      <c r="A591" s="52" t="str">
        <f t="shared" ref="A591:C610" si="75">A141</f>
        <v xml:space="preserve"> - налог на имущество</v>
      </c>
      <c r="B591" s="52" t="str">
        <f t="shared" si="75"/>
        <v>851</v>
      </c>
      <c r="C591" s="52" t="str">
        <f t="shared" si="75"/>
        <v>291</v>
      </c>
      <c r="D591" s="53" t="s">
        <v>37</v>
      </c>
      <c r="E591" s="54"/>
      <c r="F591" s="54"/>
      <c r="G591" s="54"/>
      <c r="H591" s="56"/>
      <c r="I591" s="56"/>
      <c r="R591" s="54"/>
      <c r="S591" s="54"/>
      <c r="T591" s="54"/>
      <c r="U591" s="54">
        <f t="shared" si="71"/>
        <v>0</v>
      </c>
      <c r="V591" s="54">
        <f t="shared" si="72"/>
        <v>0</v>
      </c>
      <c r="W591" s="54">
        <f t="shared" si="73"/>
        <v>0</v>
      </c>
    </row>
    <row r="592" spans="1:23" ht="27.6" hidden="1" x14ac:dyDescent="0.25">
      <c r="A592" s="52" t="str">
        <f t="shared" si="75"/>
        <v xml:space="preserve"> - компенсация расходов (морального вреда) по решению суда</v>
      </c>
      <c r="B592" s="52" t="str">
        <f t="shared" si="75"/>
        <v>831</v>
      </c>
      <c r="C592" s="52" t="str">
        <f t="shared" si="75"/>
        <v>296</v>
      </c>
      <c r="D592" s="53" t="s">
        <v>37</v>
      </c>
      <c r="E592" s="54"/>
      <c r="F592" s="54"/>
      <c r="G592" s="54"/>
      <c r="H592" s="56"/>
      <c r="I592" s="56"/>
      <c r="R592" s="54"/>
      <c r="S592" s="54"/>
      <c r="T592" s="54"/>
      <c r="U592" s="54">
        <f t="shared" si="71"/>
        <v>0</v>
      </c>
      <c r="V592" s="54">
        <f t="shared" si="72"/>
        <v>0</v>
      </c>
      <c r="W592" s="54">
        <f t="shared" si="73"/>
        <v>0</v>
      </c>
    </row>
    <row r="593" spans="1:23" ht="27.6" hidden="1" x14ac:dyDescent="0.25">
      <c r="A593" s="52" t="str">
        <f t="shared" si="75"/>
        <v xml:space="preserve"> - разработка проектно-сметной документации на капитальный ремонт крыши</v>
      </c>
      <c r="B593" s="52" t="str">
        <f t="shared" si="75"/>
        <v>243</v>
      </c>
      <c r="C593" s="52" t="str">
        <f t="shared" si="75"/>
        <v>226</v>
      </c>
      <c r="D593" s="53"/>
      <c r="E593" s="54"/>
      <c r="F593" s="54"/>
      <c r="G593" s="54"/>
      <c r="H593" s="56"/>
      <c r="I593" s="56"/>
      <c r="R593" s="54"/>
      <c r="S593" s="54"/>
      <c r="T593" s="54"/>
      <c r="U593" s="54"/>
      <c r="V593" s="54"/>
      <c r="W593" s="54"/>
    </row>
    <row r="594" spans="1:23" s="118" customFormat="1" hidden="1" x14ac:dyDescent="0.25">
      <c r="A594" s="115" t="str">
        <f t="shared" si="75"/>
        <v xml:space="preserve"> - увеличение стоимости основных средств</v>
      </c>
      <c r="B594" s="115" t="str">
        <f t="shared" si="75"/>
        <v>244</v>
      </c>
      <c r="C594" s="115" t="str">
        <f t="shared" si="75"/>
        <v>310</v>
      </c>
      <c r="D594" s="60"/>
      <c r="E594" s="61">
        <f>SUM(E595:E603)</f>
        <v>0</v>
      </c>
      <c r="F594" s="61">
        <f>SUM(F595:F603)</f>
        <v>0</v>
      </c>
      <c r="G594" s="61">
        <f>SUM(G595:G603)</f>
        <v>0</v>
      </c>
      <c r="H594" s="117"/>
      <c r="I594" s="117"/>
      <c r="R594" s="61"/>
      <c r="S594" s="61"/>
      <c r="T594" s="61"/>
      <c r="U594" s="61">
        <f t="shared" ref="U594:U625" si="76">E594-R594</f>
        <v>0</v>
      </c>
      <c r="V594" s="61">
        <f t="shared" ref="V594:V625" si="77">F594-S594</f>
        <v>0</v>
      </c>
      <c r="W594" s="61">
        <f t="shared" ref="W594:W625" si="78">G594-T594</f>
        <v>0</v>
      </c>
    </row>
    <row r="595" spans="1:23" s="118" customFormat="1" hidden="1" x14ac:dyDescent="0.25">
      <c r="A595" s="64" t="str">
        <f t="shared" si="75"/>
        <v xml:space="preserve"> - компьютерная техника</v>
      </c>
      <c r="B595" s="64" t="str">
        <f t="shared" si="75"/>
        <v>244</v>
      </c>
      <c r="C595" s="64" t="str">
        <f t="shared" si="75"/>
        <v>310</v>
      </c>
      <c r="D595" s="119"/>
      <c r="E595" s="120"/>
      <c r="F595" s="120"/>
      <c r="G595" s="120"/>
      <c r="H595" s="117"/>
      <c r="I595" s="117"/>
      <c r="R595" s="120"/>
      <c r="S595" s="120"/>
      <c r="T595" s="120"/>
      <c r="U595" s="120">
        <f t="shared" si="76"/>
        <v>0</v>
      </c>
      <c r="V595" s="120">
        <f t="shared" si="77"/>
        <v>0</v>
      </c>
      <c r="W595" s="120">
        <f t="shared" si="78"/>
        <v>0</v>
      </c>
    </row>
    <row r="596" spans="1:23" s="118" customFormat="1" hidden="1" x14ac:dyDescent="0.25">
      <c r="A596" s="64" t="str">
        <f t="shared" si="75"/>
        <v xml:space="preserve"> - кондиционеры</v>
      </c>
      <c r="B596" s="64" t="str">
        <f t="shared" si="75"/>
        <v>244</v>
      </c>
      <c r="C596" s="64" t="str">
        <f t="shared" si="75"/>
        <v>310</v>
      </c>
      <c r="D596" s="119"/>
      <c r="E596" s="120"/>
      <c r="F596" s="120"/>
      <c r="G596" s="120"/>
      <c r="H596" s="117"/>
      <c r="I596" s="117"/>
      <c r="R596" s="120"/>
      <c r="S596" s="120"/>
      <c r="T596" s="120"/>
      <c r="U596" s="120">
        <f t="shared" si="76"/>
        <v>0</v>
      </c>
      <c r="V596" s="120">
        <f t="shared" si="77"/>
        <v>0</v>
      </c>
      <c r="W596" s="120">
        <f t="shared" si="78"/>
        <v>0</v>
      </c>
    </row>
    <row r="597" spans="1:23" s="118" customFormat="1" hidden="1" x14ac:dyDescent="0.25">
      <c r="A597" s="64" t="str">
        <f t="shared" si="75"/>
        <v xml:space="preserve"> - мебель</v>
      </c>
      <c r="B597" s="64" t="str">
        <f t="shared" si="75"/>
        <v>244</v>
      </c>
      <c r="C597" s="64" t="str">
        <f t="shared" si="75"/>
        <v>310</v>
      </c>
      <c r="D597" s="119"/>
      <c r="E597" s="120"/>
      <c r="F597" s="120"/>
      <c r="G597" s="120"/>
      <c r="H597" s="117"/>
      <c r="I597" s="117"/>
      <c r="R597" s="120"/>
      <c r="S597" s="120"/>
      <c r="T597" s="120"/>
      <c r="U597" s="120">
        <f t="shared" si="76"/>
        <v>0</v>
      </c>
      <c r="V597" s="120">
        <f t="shared" si="77"/>
        <v>0</v>
      </c>
      <c r="W597" s="120">
        <f t="shared" si="78"/>
        <v>0</v>
      </c>
    </row>
    <row r="598" spans="1:23" s="118" customFormat="1" hidden="1" x14ac:dyDescent="0.25">
      <c r="A598" s="64" t="str">
        <f t="shared" si="75"/>
        <v xml:space="preserve"> - оборудование</v>
      </c>
      <c r="B598" s="64" t="str">
        <f t="shared" si="75"/>
        <v>244</v>
      </c>
      <c r="C598" s="64" t="str">
        <f t="shared" si="75"/>
        <v>310</v>
      </c>
      <c r="D598" s="119"/>
      <c r="E598" s="819"/>
      <c r="F598" s="819"/>
      <c r="G598" s="819"/>
      <c r="H598" s="117"/>
      <c r="I598" s="117"/>
      <c r="R598" s="120"/>
      <c r="S598" s="120"/>
      <c r="T598" s="120"/>
      <c r="U598" s="120">
        <f t="shared" si="76"/>
        <v>0</v>
      </c>
      <c r="V598" s="120">
        <f t="shared" si="77"/>
        <v>0</v>
      </c>
      <c r="W598" s="120">
        <f t="shared" si="78"/>
        <v>0</v>
      </c>
    </row>
    <row r="599" spans="1:23" s="118" customFormat="1" hidden="1" x14ac:dyDescent="0.25">
      <c r="A599" s="64" t="str">
        <f t="shared" si="75"/>
        <v xml:space="preserve"> - инструмент и инвентарь</v>
      </c>
      <c r="B599" s="64" t="str">
        <f t="shared" si="75"/>
        <v>244</v>
      </c>
      <c r="C599" s="64" t="str">
        <f t="shared" si="75"/>
        <v>310</v>
      </c>
      <c r="D599" s="119"/>
      <c r="E599" s="819"/>
      <c r="F599" s="819"/>
      <c r="G599" s="819"/>
      <c r="H599" s="117"/>
      <c r="I599" s="117"/>
      <c r="R599" s="120"/>
      <c r="S599" s="120"/>
      <c r="T599" s="120"/>
      <c r="U599" s="120">
        <f t="shared" si="76"/>
        <v>0</v>
      </c>
      <c r="V599" s="120">
        <f t="shared" si="77"/>
        <v>0</v>
      </c>
      <c r="W599" s="120">
        <f t="shared" si="78"/>
        <v>0</v>
      </c>
    </row>
    <row r="600" spans="1:23" s="118" customFormat="1" hidden="1" x14ac:dyDescent="0.25">
      <c r="A600" s="64" t="str">
        <f t="shared" si="75"/>
        <v xml:space="preserve"> - турникет</v>
      </c>
      <c r="B600" s="64" t="str">
        <f t="shared" si="75"/>
        <v>244</v>
      </c>
      <c r="C600" s="64" t="str">
        <f t="shared" si="75"/>
        <v>310</v>
      </c>
      <c r="D600" s="119"/>
      <c r="E600" s="120"/>
      <c r="F600" s="120"/>
      <c r="G600" s="120"/>
      <c r="H600" s="117"/>
      <c r="I600" s="117"/>
      <c r="R600" s="120"/>
      <c r="S600" s="120"/>
      <c r="T600" s="120"/>
      <c r="U600" s="120">
        <f t="shared" si="76"/>
        <v>0</v>
      </c>
      <c r="V600" s="120">
        <f t="shared" si="77"/>
        <v>0</v>
      </c>
      <c r="W600" s="120">
        <f t="shared" si="78"/>
        <v>0</v>
      </c>
    </row>
    <row r="601" spans="1:23" s="118" customFormat="1" hidden="1" x14ac:dyDescent="0.25">
      <c r="A601" s="64" t="str">
        <f t="shared" si="75"/>
        <v xml:space="preserve"> - жалюзи</v>
      </c>
      <c r="B601" s="64" t="str">
        <f t="shared" si="75"/>
        <v>244</v>
      </c>
      <c r="C601" s="64" t="str">
        <f t="shared" si="75"/>
        <v>310</v>
      </c>
      <c r="D601" s="119"/>
      <c r="E601" s="120"/>
      <c r="F601" s="120"/>
      <c r="G601" s="120"/>
      <c r="H601" s="117"/>
      <c r="I601" s="117"/>
      <c r="R601" s="120"/>
      <c r="S601" s="120"/>
      <c r="T601" s="120"/>
      <c r="U601" s="120">
        <f t="shared" si="76"/>
        <v>0</v>
      </c>
      <c r="V601" s="120">
        <f t="shared" si="77"/>
        <v>0</v>
      </c>
      <c r="W601" s="120">
        <f t="shared" si="78"/>
        <v>0</v>
      </c>
    </row>
    <row r="602" spans="1:23" s="118" customFormat="1" hidden="1" x14ac:dyDescent="0.25">
      <c r="A602" s="64" t="str">
        <f t="shared" si="75"/>
        <v xml:space="preserve"> - игрушки</v>
      </c>
      <c r="B602" s="64" t="str">
        <f t="shared" si="75"/>
        <v>244</v>
      </c>
      <c r="C602" s="64" t="str">
        <f t="shared" si="75"/>
        <v>310</v>
      </c>
      <c r="D602" s="119"/>
      <c r="E602" s="120"/>
      <c r="F602" s="120"/>
      <c r="G602" s="120"/>
      <c r="H602" s="117"/>
      <c r="I602" s="117"/>
      <c r="R602" s="120"/>
      <c r="S602" s="120"/>
      <c r="T602" s="120"/>
      <c r="U602" s="120">
        <f t="shared" si="76"/>
        <v>0</v>
      </c>
      <c r="V602" s="120">
        <f t="shared" si="77"/>
        <v>0</v>
      </c>
      <c r="W602" s="120">
        <f t="shared" si="78"/>
        <v>0</v>
      </c>
    </row>
    <row r="603" spans="1:23" s="118" customFormat="1" hidden="1" x14ac:dyDescent="0.25">
      <c r="A603" s="64" t="str">
        <f t="shared" si="75"/>
        <v xml:space="preserve"> - металлические входные двери</v>
      </c>
      <c r="B603" s="64" t="str">
        <f t="shared" si="75"/>
        <v>244</v>
      </c>
      <c r="C603" s="64" t="str">
        <f t="shared" si="75"/>
        <v>310</v>
      </c>
      <c r="D603" s="119"/>
      <c r="E603" s="120"/>
      <c r="F603" s="120"/>
      <c r="G603" s="120"/>
      <c r="H603" s="117"/>
      <c r="I603" s="117"/>
      <c r="R603" s="120"/>
      <c r="S603" s="120"/>
      <c r="T603" s="120"/>
      <c r="U603" s="120">
        <f t="shared" si="76"/>
        <v>0</v>
      </c>
      <c r="V603" s="120">
        <f t="shared" si="77"/>
        <v>0</v>
      </c>
      <c r="W603" s="120">
        <f t="shared" si="78"/>
        <v>0</v>
      </c>
    </row>
    <row r="604" spans="1:23" s="45" customFormat="1" ht="27.6" hidden="1" x14ac:dyDescent="0.25">
      <c r="A604" s="52" t="str">
        <f t="shared" si="75"/>
        <v xml:space="preserve"> - увеличение стоимости материальных запасов, всего:</v>
      </c>
      <c r="B604" s="52" t="str">
        <f t="shared" si="75"/>
        <v>244</v>
      </c>
      <c r="C604" s="52" t="str">
        <f t="shared" si="75"/>
        <v>340</v>
      </c>
      <c r="D604" s="104"/>
      <c r="E604" s="62">
        <f>SUM(E605:E619)</f>
        <v>0</v>
      </c>
      <c r="F604" s="62">
        <f>SUM(F605:F619)</f>
        <v>0</v>
      </c>
      <c r="G604" s="62">
        <f>SUM(G605:G619)</f>
        <v>0</v>
      </c>
      <c r="H604" s="63"/>
      <c r="I604" s="63"/>
      <c r="R604" s="62"/>
      <c r="S604" s="62"/>
      <c r="T604" s="62"/>
      <c r="U604" s="62">
        <f t="shared" si="76"/>
        <v>0</v>
      </c>
      <c r="V604" s="62">
        <f t="shared" si="77"/>
        <v>0</v>
      </c>
      <c r="W604" s="62">
        <f t="shared" si="78"/>
        <v>0</v>
      </c>
    </row>
    <row r="605" spans="1:23" s="58" customFormat="1" hidden="1" x14ac:dyDescent="0.25">
      <c r="A605" s="52" t="str">
        <f t="shared" si="75"/>
        <v xml:space="preserve"> - ГСМ</v>
      </c>
      <c r="B605" s="52" t="str">
        <f t="shared" si="75"/>
        <v>244</v>
      </c>
      <c r="C605" s="52" t="str">
        <f t="shared" si="75"/>
        <v>343</v>
      </c>
      <c r="D605" s="53"/>
      <c r="E605" s="54"/>
      <c r="F605" s="54"/>
      <c r="G605" s="54"/>
      <c r="H605" s="57"/>
      <c r="I605" s="57"/>
      <c r="R605" s="54"/>
      <c r="S605" s="54"/>
      <c r="T605" s="54"/>
      <c r="U605" s="54">
        <f t="shared" si="76"/>
        <v>0</v>
      </c>
      <c r="V605" s="54">
        <f t="shared" si="77"/>
        <v>0</v>
      </c>
      <c r="W605" s="54">
        <f t="shared" si="78"/>
        <v>0</v>
      </c>
    </row>
    <row r="606" spans="1:23" s="58" customFormat="1" hidden="1" x14ac:dyDescent="0.25">
      <c r="A606" s="52" t="str">
        <f t="shared" si="75"/>
        <v xml:space="preserve"> - продукты питания</v>
      </c>
      <c r="B606" s="52" t="str">
        <f t="shared" si="75"/>
        <v>244</v>
      </c>
      <c r="C606" s="52" t="str">
        <f t="shared" si="75"/>
        <v>342</v>
      </c>
      <c r="D606" s="53"/>
      <c r="E606" s="54"/>
      <c r="F606" s="54"/>
      <c r="G606" s="54"/>
      <c r="H606" s="57"/>
      <c r="I606" s="57"/>
      <c r="R606" s="54"/>
      <c r="S606" s="54"/>
      <c r="T606" s="54"/>
      <c r="U606" s="54">
        <f t="shared" si="76"/>
        <v>0</v>
      </c>
      <c r="V606" s="54">
        <f t="shared" si="77"/>
        <v>0</v>
      </c>
      <c r="W606" s="54">
        <f t="shared" si="78"/>
        <v>0</v>
      </c>
    </row>
    <row r="607" spans="1:23" s="58" customFormat="1" hidden="1" x14ac:dyDescent="0.25">
      <c r="A607" s="52" t="str">
        <f t="shared" si="75"/>
        <v xml:space="preserve"> - расходные материалы к комп.технике</v>
      </c>
      <c r="B607" s="52" t="str">
        <f t="shared" si="75"/>
        <v>244</v>
      </c>
      <c r="C607" s="52" t="str">
        <f t="shared" si="75"/>
        <v>346</v>
      </c>
      <c r="D607" s="53"/>
      <c r="E607" s="54"/>
      <c r="F607" s="54"/>
      <c r="G607" s="54"/>
      <c r="H607" s="57"/>
      <c r="I607" s="57"/>
      <c r="R607" s="54"/>
      <c r="S607" s="54"/>
      <c r="T607" s="54"/>
      <c r="U607" s="54">
        <f t="shared" si="76"/>
        <v>0</v>
      </c>
      <c r="V607" s="54">
        <f t="shared" si="77"/>
        <v>0</v>
      </c>
      <c r="W607" s="54">
        <f t="shared" si="78"/>
        <v>0</v>
      </c>
    </row>
    <row r="608" spans="1:23" s="58" customFormat="1" hidden="1" x14ac:dyDescent="0.25">
      <c r="A608" s="52" t="str">
        <f t="shared" si="75"/>
        <v xml:space="preserve"> - медикаменты</v>
      </c>
      <c r="B608" s="52" t="str">
        <f t="shared" si="75"/>
        <v>244</v>
      </c>
      <c r="C608" s="52" t="str">
        <f t="shared" si="75"/>
        <v>341</v>
      </c>
      <c r="D608" s="53"/>
      <c r="E608" s="54"/>
      <c r="F608" s="54"/>
      <c r="G608" s="54"/>
      <c r="H608" s="57"/>
      <c r="I608" s="57"/>
      <c r="R608" s="54"/>
      <c r="S608" s="54"/>
      <c r="T608" s="54"/>
      <c r="U608" s="54">
        <f t="shared" si="76"/>
        <v>0</v>
      </c>
      <c r="V608" s="54">
        <f t="shared" si="77"/>
        <v>0</v>
      </c>
      <c r="W608" s="54">
        <f t="shared" si="78"/>
        <v>0</v>
      </c>
    </row>
    <row r="609" spans="1:23" s="58" customFormat="1" hidden="1" x14ac:dyDescent="0.25">
      <c r="A609" s="52" t="str">
        <f t="shared" si="75"/>
        <v xml:space="preserve"> - строительные материалы</v>
      </c>
      <c r="B609" s="52" t="str">
        <f t="shared" si="75"/>
        <v>244</v>
      </c>
      <c r="C609" s="52" t="str">
        <f t="shared" si="75"/>
        <v>344</v>
      </c>
      <c r="D609" s="53"/>
      <c r="E609" s="54"/>
      <c r="F609" s="54"/>
      <c r="G609" s="54"/>
      <c r="H609" s="57"/>
      <c r="I609" s="57"/>
      <c r="R609" s="54"/>
      <c r="S609" s="54"/>
      <c r="T609" s="54"/>
      <c r="U609" s="54">
        <f t="shared" si="76"/>
        <v>0</v>
      </c>
      <c r="V609" s="54">
        <f t="shared" si="77"/>
        <v>0</v>
      </c>
      <c r="W609" s="54">
        <f t="shared" si="78"/>
        <v>0</v>
      </c>
    </row>
    <row r="610" spans="1:23" s="58" customFormat="1" hidden="1" x14ac:dyDescent="0.25">
      <c r="A610" s="52" t="str">
        <f t="shared" si="75"/>
        <v xml:space="preserve"> - ворота, калитка</v>
      </c>
      <c r="B610" s="52" t="str">
        <f t="shared" si="75"/>
        <v>244</v>
      </c>
      <c r="C610" s="52" t="str">
        <f t="shared" si="75"/>
        <v>344</v>
      </c>
      <c r="D610" s="53"/>
      <c r="E610" s="54"/>
      <c r="F610" s="54"/>
      <c r="G610" s="54"/>
      <c r="H610" s="57"/>
      <c r="I610" s="57"/>
      <c r="R610" s="54"/>
      <c r="S610" s="54"/>
      <c r="T610" s="54"/>
      <c r="U610" s="54">
        <f t="shared" si="76"/>
        <v>0</v>
      </c>
      <c r="V610" s="54">
        <f t="shared" si="77"/>
        <v>0</v>
      </c>
      <c r="W610" s="54">
        <f t="shared" si="78"/>
        <v>0</v>
      </c>
    </row>
    <row r="611" spans="1:23" s="58" customFormat="1" hidden="1" x14ac:dyDescent="0.25">
      <c r="A611" s="52" t="str">
        <f t="shared" ref="A611:C619" si="79">A161</f>
        <v xml:space="preserve"> - канцелярские товары</v>
      </c>
      <c r="B611" s="52" t="str">
        <f t="shared" si="79"/>
        <v>244</v>
      </c>
      <c r="C611" s="52" t="str">
        <f t="shared" si="79"/>
        <v>346</v>
      </c>
      <c r="D611" s="53"/>
      <c r="E611" s="818"/>
      <c r="F611" s="818"/>
      <c r="G611" s="818"/>
      <c r="H611" s="57"/>
      <c r="I611" s="57"/>
      <c r="R611" s="54"/>
      <c r="S611" s="54"/>
      <c r="T611" s="54"/>
      <c r="U611" s="54">
        <f t="shared" si="76"/>
        <v>0</v>
      </c>
      <c r="V611" s="54">
        <f t="shared" si="77"/>
        <v>0</v>
      </c>
      <c r="W611" s="54">
        <f t="shared" si="78"/>
        <v>0</v>
      </c>
    </row>
    <row r="612" spans="1:23" s="58" customFormat="1" hidden="1" x14ac:dyDescent="0.25">
      <c r="A612" s="52" t="str">
        <f t="shared" si="79"/>
        <v xml:space="preserve"> - хозяйственные товары, электрика</v>
      </c>
      <c r="B612" s="52" t="str">
        <f t="shared" si="79"/>
        <v>244</v>
      </c>
      <c r="C612" s="52" t="str">
        <f t="shared" si="79"/>
        <v>346</v>
      </c>
      <c r="D612" s="53"/>
      <c r="E612" s="54"/>
      <c r="F612" s="54"/>
      <c r="G612" s="54"/>
      <c r="H612" s="57"/>
      <c r="I612" s="57"/>
      <c r="R612" s="54"/>
      <c r="S612" s="54"/>
      <c r="T612" s="54"/>
      <c r="U612" s="54">
        <f t="shared" si="76"/>
        <v>0</v>
      </c>
      <c r="V612" s="54">
        <f t="shared" si="77"/>
        <v>0</v>
      </c>
      <c r="W612" s="54">
        <f t="shared" si="78"/>
        <v>0</v>
      </c>
    </row>
    <row r="613" spans="1:23" s="58" customFormat="1" hidden="1" x14ac:dyDescent="0.25">
      <c r="A613" s="52" t="str">
        <f t="shared" si="79"/>
        <v xml:space="preserve"> - бланки</v>
      </c>
      <c r="B613" s="52" t="str">
        <f t="shared" si="79"/>
        <v>244</v>
      </c>
      <c r="C613" s="52" t="str">
        <f t="shared" si="79"/>
        <v>346</v>
      </c>
      <c r="D613" s="53"/>
      <c r="E613" s="54"/>
      <c r="F613" s="54"/>
      <c r="G613" s="54"/>
      <c r="H613" s="57"/>
      <c r="I613" s="57"/>
      <c r="R613" s="54"/>
      <c r="S613" s="54"/>
      <c r="T613" s="54"/>
      <c r="U613" s="54">
        <f t="shared" si="76"/>
        <v>0</v>
      </c>
      <c r="V613" s="54">
        <f t="shared" si="77"/>
        <v>0</v>
      </c>
      <c r="W613" s="54">
        <f t="shared" si="78"/>
        <v>0</v>
      </c>
    </row>
    <row r="614" spans="1:23" s="58" customFormat="1" hidden="1" x14ac:dyDescent="0.25">
      <c r="A614" s="52" t="str">
        <f t="shared" si="79"/>
        <v xml:space="preserve"> - моющие</v>
      </c>
      <c r="B614" s="52" t="str">
        <f t="shared" si="79"/>
        <v>244</v>
      </c>
      <c r="C614" s="52" t="str">
        <f t="shared" si="79"/>
        <v>346</v>
      </c>
      <c r="D614" s="53"/>
      <c r="E614" s="54"/>
      <c r="F614" s="54"/>
      <c r="G614" s="54"/>
      <c r="H614" s="57"/>
      <c r="I614" s="57"/>
      <c r="R614" s="54"/>
      <c r="S614" s="54"/>
      <c r="T614" s="54"/>
      <c r="U614" s="54">
        <f t="shared" si="76"/>
        <v>0</v>
      </c>
      <c r="V614" s="54">
        <f t="shared" si="77"/>
        <v>0</v>
      </c>
      <c r="W614" s="54">
        <f t="shared" si="78"/>
        <v>0</v>
      </c>
    </row>
    <row r="615" spans="1:23" s="58" customFormat="1" hidden="1" x14ac:dyDescent="0.25">
      <c r="A615" s="52" t="str">
        <f t="shared" si="79"/>
        <v xml:space="preserve"> - новогодние подарки детям сотрудников</v>
      </c>
      <c r="B615" s="52" t="str">
        <f t="shared" si="79"/>
        <v>244</v>
      </c>
      <c r="C615" s="52" t="str">
        <f t="shared" si="79"/>
        <v>349</v>
      </c>
      <c r="D615" s="53"/>
      <c r="E615" s="54"/>
      <c r="F615" s="54"/>
      <c r="G615" s="54"/>
      <c r="H615" s="57"/>
      <c r="I615" s="57"/>
      <c r="R615" s="54"/>
      <c r="S615" s="54"/>
      <c r="T615" s="54"/>
      <c r="U615" s="54">
        <f t="shared" si="76"/>
        <v>0</v>
      </c>
      <c r="V615" s="54">
        <f t="shared" si="77"/>
        <v>0</v>
      </c>
      <c r="W615" s="54">
        <f t="shared" si="78"/>
        <v>0</v>
      </c>
    </row>
    <row r="616" spans="1:23" s="58" customFormat="1" hidden="1" x14ac:dyDescent="0.25">
      <c r="A616" s="52" t="str">
        <f t="shared" si="79"/>
        <v xml:space="preserve"> - новогодние подарки сотрудникам</v>
      </c>
      <c r="B616" s="52" t="str">
        <f t="shared" si="79"/>
        <v>244</v>
      </c>
      <c r="C616" s="52" t="str">
        <f t="shared" si="79"/>
        <v>349</v>
      </c>
      <c r="D616" s="53"/>
      <c r="E616" s="54"/>
      <c r="F616" s="54"/>
      <c r="G616" s="54"/>
      <c r="H616" s="57"/>
      <c r="I616" s="57"/>
      <c r="R616" s="54"/>
      <c r="S616" s="54"/>
      <c r="T616" s="54"/>
      <c r="U616" s="54">
        <f t="shared" si="76"/>
        <v>0</v>
      </c>
      <c r="V616" s="54">
        <f t="shared" si="77"/>
        <v>0</v>
      </c>
      <c r="W616" s="54">
        <f t="shared" si="78"/>
        <v>0</v>
      </c>
    </row>
    <row r="617" spans="1:23" s="58" customFormat="1" hidden="1" x14ac:dyDescent="0.25">
      <c r="A617" s="52" t="str">
        <f t="shared" si="79"/>
        <v xml:space="preserve"> - прочие материальные запасы</v>
      </c>
      <c r="B617" s="52" t="str">
        <f t="shared" si="79"/>
        <v>244</v>
      </c>
      <c r="C617" s="52" t="str">
        <f t="shared" si="79"/>
        <v>346</v>
      </c>
      <c r="D617" s="53"/>
      <c r="E617" s="54"/>
      <c r="F617" s="54"/>
      <c r="G617" s="54"/>
      <c r="H617" s="57"/>
      <c r="I617" s="57"/>
      <c r="R617" s="54"/>
      <c r="S617" s="54"/>
      <c r="T617" s="54"/>
      <c r="U617" s="54">
        <f t="shared" si="76"/>
        <v>0</v>
      </c>
      <c r="V617" s="54">
        <f t="shared" si="77"/>
        <v>0</v>
      </c>
      <c r="W617" s="54">
        <f t="shared" si="78"/>
        <v>0</v>
      </c>
    </row>
    <row r="618" spans="1:23" s="58" customFormat="1" hidden="1" x14ac:dyDescent="0.25">
      <c r="A618" s="52" t="str">
        <f t="shared" si="79"/>
        <v xml:space="preserve"> - спецодежда МОП</v>
      </c>
      <c r="B618" s="52" t="str">
        <f t="shared" si="79"/>
        <v>244</v>
      </c>
      <c r="C618" s="52" t="str">
        <f t="shared" si="79"/>
        <v>345</v>
      </c>
      <c r="D618" s="53"/>
      <c r="E618" s="54"/>
      <c r="F618" s="54"/>
      <c r="G618" s="54"/>
      <c r="H618" s="57"/>
      <c r="I618" s="57"/>
      <c r="R618" s="54"/>
      <c r="S618" s="54"/>
      <c r="T618" s="54"/>
      <c r="U618" s="54">
        <f t="shared" si="76"/>
        <v>0</v>
      </c>
      <c r="V618" s="54">
        <f t="shared" si="77"/>
        <v>0</v>
      </c>
      <c r="W618" s="54">
        <f t="shared" si="78"/>
        <v>0</v>
      </c>
    </row>
    <row r="619" spans="1:23" s="58" customFormat="1" hidden="1" x14ac:dyDescent="0.25">
      <c r="A619" s="52" t="str">
        <f t="shared" si="79"/>
        <v xml:space="preserve"> - запчасти для а/м</v>
      </c>
      <c r="B619" s="52" t="str">
        <f t="shared" si="79"/>
        <v>244</v>
      </c>
      <c r="C619" s="52" t="str">
        <f t="shared" si="79"/>
        <v>346</v>
      </c>
      <c r="D619" s="53"/>
      <c r="E619" s="54"/>
      <c r="F619" s="54"/>
      <c r="G619" s="54"/>
      <c r="H619" s="57"/>
      <c r="I619" s="57"/>
      <c r="R619" s="54"/>
      <c r="S619" s="54"/>
      <c r="T619" s="54"/>
      <c r="U619" s="54">
        <f t="shared" si="76"/>
        <v>0</v>
      </c>
      <c r="V619" s="54">
        <f t="shared" si="77"/>
        <v>0</v>
      </c>
      <c r="W619" s="54">
        <f t="shared" si="78"/>
        <v>0</v>
      </c>
    </row>
    <row r="620" spans="1:23" s="45" customFormat="1" hidden="1" x14ac:dyDescent="0.25">
      <c r="A620" s="699" t="s">
        <v>347</v>
      </c>
      <c r="B620" s="702"/>
      <c r="C620" s="702"/>
      <c r="D620" s="702" t="s">
        <v>37</v>
      </c>
      <c r="E620" s="703">
        <f>SUM(E621,E622,E623,E624,E625,E626,E627,E635,E633,E659,E677,E679,E680,E681,E682,E684,E694,E631,E634,E678,E630,E632,E676,E683)</f>
        <v>0</v>
      </c>
      <c r="F620" s="703">
        <f>SUM(F621,F622,F623,F624,F625,F626,F627,F635,F633,F659,F677,F679,F680,F681,F682,F684,F694,F631,F634,F678,F630,F632,F676,F683)</f>
        <v>0</v>
      </c>
      <c r="G620" s="703">
        <f>SUM(G621,G622,G623,G624,G625,G626,G627,G635,G633,G659,G677,G679,G680,G681,G682,G684,G694,G631,G634,G678,G630,G632,G676,G683)</f>
        <v>0</v>
      </c>
      <c r="R620" s="61"/>
      <c r="S620" s="61"/>
      <c r="T620" s="61"/>
      <c r="U620" s="61">
        <f t="shared" si="76"/>
        <v>0</v>
      </c>
      <c r="V620" s="61">
        <f t="shared" si="77"/>
        <v>0</v>
      </c>
      <c r="W620" s="61">
        <f t="shared" si="78"/>
        <v>0</v>
      </c>
    </row>
    <row r="621" spans="1:23" hidden="1" x14ac:dyDescent="0.25">
      <c r="A621" s="441" t="str">
        <f t="shared" ref="A621:C640" si="80">A81</f>
        <v xml:space="preserve"> - заработная плата</v>
      </c>
      <c r="B621" s="52" t="str">
        <f t="shared" si="80"/>
        <v>111</v>
      </c>
      <c r="C621" s="52" t="str">
        <f t="shared" si="80"/>
        <v>211</v>
      </c>
      <c r="D621" s="53" t="s">
        <v>37</v>
      </c>
      <c r="E621" s="54"/>
      <c r="F621" s="54"/>
      <c r="G621" s="54"/>
      <c r="H621" s="56"/>
      <c r="R621" s="54"/>
      <c r="S621" s="54"/>
      <c r="T621" s="54"/>
      <c r="U621" s="54">
        <f t="shared" si="76"/>
        <v>0</v>
      </c>
      <c r="V621" s="54">
        <f t="shared" si="77"/>
        <v>0</v>
      </c>
      <c r="W621" s="54">
        <f t="shared" si="78"/>
        <v>0</v>
      </c>
    </row>
    <row r="622" spans="1:23" hidden="1" x14ac:dyDescent="0.25">
      <c r="A622" s="52" t="str">
        <f t="shared" si="80"/>
        <v xml:space="preserve"> - 3 дн б/л за счет работодателя</v>
      </c>
      <c r="B622" s="52" t="str">
        <f t="shared" si="80"/>
        <v>111</v>
      </c>
      <c r="C622" s="52" t="str">
        <f t="shared" si="80"/>
        <v>266</v>
      </c>
      <c r="D622" s="53" t="s">
        <v>37</v>
      </c>
      <c r="E622" s="54"/>
      <c r="F622" s="54"/>
      <c r="G622" s="54"/>
      <c r="H622" s="56"/>
      <c r="R622" s="54"/>
      <c r="S622" s="54"/>
      <c r="T622" s="54"/>
      <c r="U622" s="54">
        <f t="shared" si="76"/>
        <v>0</v>
      </c>
      <c r="V622" s="54">
        <f t="shared" si="77"/>
        <v>0</v>
      </c>
      <c r="W622" s="54">
        <f t="shared" si="78"/>
        <v>0</v>
      </c>
    </row>
    <row r="623" spans="1:23" s="58" customFormat="1" hidden="1" x14ac:dyDescent="0.25">
      <c r="A623" s="52" t="str">
        <f t="shared" si="80"/>
        <v xml:space="preserve"> - пособие по уходу за ребенком</v>
      </c>
      <c r="B623" s="52" t="str">
        <f t="shared" si="80"/>
        <v>112</v>
      </c>
      <c r="C623" s="52" t="str">
        <f t="shared" si="80"/>
        <v>266</v>
      </c>
      <c r="D623" s="53" t="s">
        <v>37</v>
      </c>
      <c r="E623" s="54"/>
      <c r="F623" s="54"/>
      <c r="G623" s="54"/>
      <c r="H623" s="57"/>
      <c r="I623" s="57"/>
      <c r="R623" s="54"/>
      <c r="S623" s="54"/>
      <c r="T623" s="54"/>
      <c r="U623" s="54">
        <f t="shared" si="76"/>
        <v>0</v>
      </c>
      <c r="V623" s="54">
        <f t="shared" si="77"/>
        <v>0</v>
      </c>
      <c r="W623" s="54">
        <f t="shared" si="78"/>
        <v>0</v>
      </c>
    </row>
    <row r="624" spans="1:23" s="58" customFormat="1" hidden="1" x14ac:dyDescent="0.25">
      <c r="A624" s="52" t="str">
        <f t="shared" si="80"/>
        <v xml:space="preserve"> - предварительный мед.осмотр (возм.расх.)</v>
      </c>
      <c r="B624" s="52" t="str">
        <f t="shared" si="80"/>
        <v>112</v>
      </c>
      <c r="C624" s="52" t="str">
        <f t="shared" si="80"/>
        <v>226</v>
      </c>
      <c r="D624" s="53" t="s">
        <v>37</v>
      </c>
      <c r="E624" s="54"/>
      <c r="F624" s="54"/>
      <c r="G624" s="54"/>
      <c r="H624" s="57"/>
      <c r="I624" s="57"/>
      <c r="R624" s="54"/>
      <c r="S624" s="54"/>
      <c r="T624" s="54"/>
      <c r="U624" s="54">
        <f t="shared" si="76"/>
        <v>0</v>
      </c>
      <c r="V624" s="54">
        <f t="shared" si="77"/>
        <v>0</v>
      </c>
      <c r="W624" s="54">
        <f t="shared" si="78"/>
        <v>0</v>
      </c>
    </row>
    <row r="625" spans="1:23" s="58" customFormat="1" hidden="1" x14ac:dyDescent="0.25">
      <c r="A625" s="52" t="str">
        <f t="shared" si="80"/>
        <v xml:space="preserve"> - НДФЛ</v>
      </c>
      <c r="B625" s="52" t="str">
        <f t="shared" si="80"/>
        <v>112</v>
      </c>
      <c r="C625" s="52" t="str">
        <f t="shared" si="80"/>
        <v>266</v>
      </c>
      <c r="D625" s="53" t="s">
        <v>37</v>
      </c>
      <c r="E625" s="54"/>
      <c r="F625" s="54"/>
      <c r="G625" s="54"/>
      <c r="H625" s="57"/>
      <c r="I625" s="57"/>
      <c r="R625" s="54"/>
      <c r="S625" s="54"/>
      <c r="T625" s="54"/>
      <c r="U625" s="54">
        <f t="shared" si="76"/>
        <v>0</v>
      </c>
      <c r="V625" s="54">
        <f t="shared" si="77"/>
        <v>0</v>
      </c>
      <c r="W625" s="54">
        <f t="shared" si="78"/>
        <v>0</v>
      </c>
    </row>
    <row r="626" spans="1:23" hidden="1" x14ac:dyDescent="0.25">
      <c r="A626" s="52" t="str">
        <f t="shared" si="80"/>
        <v xml:space="preserve"> - начисления на оплату труда</v>
      </c>
      <c r="B626" s="52" t="str">
        <f t="shared" si="80"/>
        <v>119</v>
      </c>
      <c r="C626" s="52" t="str">
        <f t="shared" si="80"/>
        <v>213</v>
      </c>
      <c r="D626" s="53" t="s">
        <v>37</v>
      </c>
      <c r="E626" s="54"/>
      <c r="F626" s="54"/>
      <c r="G626" s="54"/>
      <c r="H626" s="56"/>
      <c r="R626" s="54"/>
      <c r="S626" s="54"/>
      <c r="T626" s="54"/>
      <c r="U626" s="54">
        <f t="shared" ref="U626:U657" si="81">E626-R626</f>
        <v>0</v>
      </c>
      <c r="V626" s="54">
        <f t="shared" ref="V626:V657" si="82">F626-S626</f>
        <v>0</v>
      </c>
      <c r="W626" s="54">
        <f t="shared" ref="W626:W657" si="83">G626-T626</f>
        <v>0</v>
      </c>
    </row>
    <row r="627" spans="1:23" s="45" customFormat="1" hidden="1" x14ac:dyDescent="0.25">
      <c r="A627" s="52" t="str">
        <f t="shared" si="80"/>
        <v xml:space="preserve"> - услуги связи, всего:</v>
      </c>
      <c r="B627" s="52" t="str">
        <f t="shared" si="80"/>
        <v>244</v>
      </c>
      <c r="C627" s="52" t="str">
        <f t="shared" si="80"/>
        <v>221</v>
      </c>
      <c r="D627" s="60"/>
      <c r="E627" s="61">
        <f>SUM(E628:E629)</f>
        <v>0</v>
      </c>
      <c r="F627" s="61">
        <f>SUM(F628:F629)</f>
        <v>0</v>
      </c>
      <c r="G627" s="61">
        <f>SUM(G628:G629)</f>
        <v>0</v>
      </c>
      <c r="H627" s="63"/>
      <c r="R627" s="61"/>
      <c r="S627" s="61"/>
      <c r="T627" s="61"/>
      <c r="U627" s="61">
        <f t="shared" si="81"/>
        <v>0</v>
      </c>
      <c r="V627" s="61">
        <f t="shared" si="82"/>
        <v>0</v>
      </c>
      <c r="W627" s="61">
        <f t="shared" si="83"/>
        <v>0</v>
      </c>
    </row>
    <row r="628" spans="1:23" ht="27.6" hidden="1" x14ac:dyDescent="0.25">
      <c r="A628" s="52" t="str">
        <f t="shared" si="80"/>
        <v xml:space="preserve">   в том числе:
    - ГТС и МТС</v>
      </c>
      <c r="B628" s="52" t="str">
        <f t="shared" si="80"/>
        <v>244</v>
      </c>
      <c r="C628" s="52" t="str">
        <f t="shared" si="80"/>
        <v>221</v>
      </c>
      <c r="D628" s="53"/>
      <c r="E628" s="54"/>
      <c r="F628" s="54"/>
      <c r="G628" s="54"/>
      <c r="H628" s="56"/>
      <c r="I628" s="56"/>
      <c r="R628" s="54"/>
      <c r="S628" s="54"/>
      <c r="T628" s="54"/>
      <c r="U628" s="54">
        <f t="shared" si="81"/>
        <v>0</v>
      </c>
      <c r="V628" s="54">
        <f t="shared" si="82"/>
        <v>0</v>
      </c>
      <c r="W628" s="54">
        <f t="shared" si="83"/>
        <v>0</v>
      </c>
    </row>
    <row r="629" spans="1:23" s="58" customFormat="1" hidden="1" x14ac:dyDescent="0.25">
      <c r="A629" s="52" t="str">
        <f t="shared" si="80"/>
        <v xml:space="preserve">    - интернет </v>
      </c>
      <c r="B629" s="52" t="str">
        <f t="shared" si="80"/>
        <v>244</v>
      </c>
      <c r="C629" s="52" t="str">
        <f t="shared" si="80"/>
        <v>221</v>
      </c>
      <c r="D629" s="53"/>
      <c r="E629" s="54"/>
      <c r="F629" s="54"/>
      <c r="G629" s="54"/>
      <c r="H629" s="57"/>
      <c r="I629" s="57"/>
      <c r="R629" s="54"/>
      <c r="S629" s="54"/>
      <c r="T629" s="54"/>
      <c r="U629" s="54">
        <f t="shared" si="81"/>
        <v>0</v>
      </c>
      <c r="V629" s="54">
        <f t="shared" si="82"/>
        <v>0</v>
      </c>
      <c r="W629" s="54">
        <f t="shared" si="83"/>
        <v>0</v>
      </c>
    </row>
    <row r="630" spans="1:23" s="58" customFormat="1" hidden="1" x14ac:dyDescent="0.25">
      <c r="A630" s="52" t="str">
        <f t="shared" si="80"/>
        <v xml:space="preserve"> - транспортные расходы</v>
      </c>
      <c r="B630" s="52" t="str">
        <f t="shared" si="80"/>
        <v>244</v>
      </c>
      <c r="C630" s="52" t="str">
        <f t="shared" si="80"/>
        <v>222</v>
      </c>
      <c r="D630" s="53"/>
      <c r="E630" s="54"/>
      <c r="F630" s="54"/>
      <c r="G630" s="54"/>
      <c r="I630" s="57"/>
      <c r="R630" s="54"/>
      <c r="S630" s="54"/>
      <c r="T630" s="54"/>
      <c r="U630" s="54">
        <f t="shared" si="81"/>
        <v>0</v>
      </c>
      <c r="V630" s="54">
        <f t="shared" si="82"/>
        <v>0</v>
      </c>
      <c r="W630" s="54">
        <f t="shared" si="83"/>
        <v>0</v>
      </c>
    </row>
    <row r="631" spans="1:23" hidden="1" x14ac:dyDescent="0.25">
      <c r="A631" s="52" t="str">
        <f t="shared" si="80"/>
        <v xml:space="preserve"> - коммунальные расходы (без ЖБО)</v>
      </c>
      <c r="B631" s="52" t="str">
        <f t="shared" si="80"/>
        <v>244</v>
      </c>
      <c r="C631" s="52" t="str">
        <f t="shared" si="80"/>
        <v>223</v>
      </c>
      <c r="D631" s="53"/>
      <c r="E631" s="54"/>
      <c r="F631" s="54"/>
      <c r="G631" s="54"/>
      <c r="H631" s="56"/>
      <c r="I631" s="56"/>
      <c r="R631" s="54"/>
      <c r="S631" s="54"/>
      <c r="T631" s="54"/>
      <c r="U631" s="54">
        <f t="shared" si="81"/>
        <v>0</v>
      </c>
      <c r="V631" s="54">
        <f t="shared" si="82"/>
        <v>0</v>
      </c>
      <c r="W631" s="54">
        <f t="shared" si="83"/>
        <v>0</v>
      </c>
    </row>
    <row r="632" spans="1:23" hidden="1" x14ac:dyDescent="0.25">
      <c r="A632" s="52" t="str">
        <f t="shared" si="80"/>
        <v xml:space="preserve"> - коммунальные расходы (без ЖБО)</v>
      </c>
      <c r="B632" s="52" t="str">
        <f t="shared" si="80"/>
        <v>247</v>
      </c>
      <c r="C632" s="52" t="str">
        <f t="shared" si="80"/>
        <v>223</v>
      </c>
      <c r="D632" s="53"/>
      <c r="E632" s="54"/>
      <c r="F632" s="54"/>
      <c r="G632" s="54"/>
      <c r="H632" s="56"/>
      <c r="I632" s="56"/>
      <c r="R632" s="54"/>
      <c r="S632" s="54"/>
      <c r="T632" s="54"/>
      <c r="U632" s="54">
        <f t="shared" si="81"/>
        <v>0</v>
      </c>
      <c r="V632" s="54">
        <f t="shared" si="82"/>
        <v>0</v>
      </c>
      <c r="W632" s="54">
        <f t="shared" si="83"/>
        <v>0</v>
      </c>
    </row>
    <row r="633" spans="1:23" hidden="1" x14ac:dyDescent="0.25">
      <c r="A633" s="52" t="str">
        <f t="shared" si="80"/>
        <v xml:space="preserve">    - ЖБО </v>
      </c>
      <c r="B633" s="52" t="str">
        <f t="shared" si="80"/>
        <v>244</v>
      </c>
      <c r="C633" s="52" t="str">
        <f t="shared" si="80"/>
        <v>223</v>
      </c>
      <c r="D633" s="53"/>
      <c r="E633" s="54"/>
      <c r="F633" s="54"/>
      <c r="G633" s="54"/>
      <c r="H633" s="58"/>
      <c r="I633" s="57"/>
      <c r="R633" s="54"/>
      <c r="S633" s="54"/>
      <c r="T633" s="54"/>
      <c r="U633" s="54">
        <f t="shared" si="81"/>
        <v>0</v>
      </c>
      <c r="V633" s="54">
        <f t="shared" si="82"/>
        <v>0</v>
      </c>
      <c r="W633" s="54">
        <f t="shared" si="83"/>
        <v>0</v>
      </c>
    </row>
    <row r="634" spans="1:23" s="58" customFormat="1" hidden="1" x14ac:dyDescent="0.25">
      <c r="A634" s="52" t="str">
        <f t="shared" si="80"/>
        <v xml:space="preserve"> - арендная плата </v>
      </c>
      <c r="B634" s="52" t="str">
        <f t="shared" si="80"/>
        <v>244</v>
      </c>
      <c r="C634" s="52" t="str">
        <f t="shared" si="80"/>
        <v>224</v>
      </c>
      <c r="D634" s="53"/>
      <c r="E634" s="54"/>
      <c r="F634" s="54"/>
      <c r="G634" s="54"/>
      <c r="H634" s="57"/>
      <c r="I634" s="57"/>
      <c r="R634" s="54"/>
      <c r="S634" s="54"/>
      <c r="T634" s="54"/>
      <c r="U634" s="54">
        <f t="shared" si="81"/>
        <v>0</v>
      </c>
      <c r="V634" s="54">
        <f t="shared" si="82"/>
        <v>0</v>
      </c>
      <c r="W634" s="54">
        <f t="shared" si="83"/>
        <v>0</v>
      </c>
    </row>
    <row r="635" spans="1:23" s="45" customFormat="1" hidden="1" x14ac:dyDescent="0.25">
      <c r="A635" s="52" t="str">
        <f t="shared" si="80"/>
        <v xml:space="preserve"> - услуги по содержанию имущества, всего:</v>
      </c>
      <c r="B635" s="52" t="str">
        <f t="shared" si="80"/>
        <v>244</v>
      </c>
      <c r="C635" s="52" t="str">
        <f t="shared" si="80"/>
        <v>225</v>
      </c>
      <c r="D635" s="104"/>
      <c r="E635" s="62">
        <f>SUM(E636:E658)</f>
        <v>0</v>
      </c>
      <c r="F635" s="62">
        <f>SUM(F636:F658)</f>
        <v>0</v>
      </c>
      <c r="G635" s="62">
        <f>SUM(G636:G658)</f>
        <v>0</v>
      </c>
      <c r="H635" s="63"/>
      <c r="I635" s="63"/>
      <c r="R635" s="62"/>
      <c r="S635" s="62"/>
      <c r="T635" s="62"/>
      <c r="U635" s="62">
        <f t="shared" si="81"/>
        <v>0</v>
      </c>
      <c r="V635" s="62">
        <f t="shared" si="82"/>
        <v>0</v>
      </c>
      <c r="W635" s="62">
        <f t="shared" si="83"/>
        <v>0</v>
      </c>
    </row>
    <row r="636" spans="1:23" ht="41.4" hidden="1" x14ac:dyDescent="0.25">
      <c r="A636" s="52" t="str">
        <f t="shared" si="80"/>
        <v xml:space="preserve">   в том числе:
    - тек.ремонт (отопление, водопровод, электросетей)</v>
      </c>
      <c r="B636" s="52" t="str">
        <f t="shared" si="80"/>
        <v>244</v>
      </c>
      <c r="C636" s="52" t="str">
        <f t="shared" si="80"/>
        <v>225</v>
      </c>
      <c r="D636" s="53"/>
      <c r="E636" s="54"/>
      <c r="F636" s="54"/>
      <c r="G636" s="54"/>
      <c r="H636" s="56"/>
      <c r="I636" s="56"/>
      <c r="R636" s="54"/>
      <c r="S636" s="54"/>
      <c r="T636" s="54"/>
      <c r="U636" s="54">
        <f t="shared" si="81"/>
        <v>0</v>
      </c>
      <c r="V636" s="54">
        <f t="shared" si="82"/>
        <v>0</v>
      </c>
      <c r="W636" s="54">
        <f t="shared" si="83"/>
        <v>0</v>
      </c>
    </row>
    <row r="637" spans="1:23" s="66" customFormat="1" hidden="1" x14ac:dyDescent="0.25">
      <c r="A637" s="52" t="str">
        <f t="shared" si="80"/>
        <v xml:space="preserve">    - очистка кровли от снега</v>
      </c>
      <c r="B637" s="52" t="str">
        <f t="shared" si="80"/>
        <v>244</v>
      </c>
      <c r="C637" s="52" t="str">
        <f t="shared" si="80"/>
        <v>225</v>
      </c>
      <c r="D637" s="53"/>
      <c r="E637" s="54"/>
      <c r="F637" s="54"/>
      <c r="G637" s="54"/>
      <c r="I637" s="67"/>
      <c r="R637" s="54"/>
      <c r="S637" s="54"/>
      <c r="T637" s="54"/>
      <c r="U637" s="54">
        <f t="shared" si="81"/>
        <v>0</v>
      </c>
      <c r="V637" s="54">
        <f t="shared" si="82"/>
        <v>0</v>
      </c>
      <c r="W637" s="54">
        <f t="shared" si="83"/>
        <v>0</v>
      </c>
    </row>
    <row r="638" spans="1:23" ht="27.6" hidden="1" x14ac:dyDescent="0.25">
      <c r="A638" s="52" t="str">
        <f t="shared" si="80"/>
        <v xml:space="preserve">    - текущий ремонт кровли, крыльца, заделка швов, асфальтирование территории</v>
      </c>
      <c r="B638" s="52" t="str">
        <f t="shared" si="80"/>
        <v>244</v>
      </c>
      <c r="C638" s="52" t="str">
        <f t="shared" si="80"/>
        <v>225</v>
      </c>
      <c r="D638" s="53"/>
      <c r="E638" s="54"/>
      <c r="F638" s="54"/>
      <c r="G638" s="54"/>
      <c r="H638" s="56"/>
      <c r="I638" s="56"/>
      <c r="R638" s="54"/>
      <c r="S638" s="54"/>
      <c r="T638" s="54"/>
      <c r="U638" s="54">
        <f t="shared" si="81"/>
        <v>0</v>
      </c>
      <c r="V638" s="54">
        <f t="shared" si="82"/>
        <v>0</v>
      </c>
      <c r="W638" s="54">
        <f t="shared" si="83"/>
        <v>0</v>
      </c>
    </row>
    <row r="639" spans="1:23" hidden="1" x14ac:dyDescent="0.25">
      <c r="A639" s="52" t="str">
        <f t="shared" si="80"/>
        <v xml:space="preserve">    - аварийно-техническое обслуживание зданий</v>
      </c>
      <c r="B639" s="52" t="str">
        <f t="shared" si="80"/>
        <v>244</v>
      </c>
      <c r="C639" s="52" t="str">
        <f t="shared" si="80"/>
        <v>225</v>
      </c>
      <c r="D639" s="53"/>
      <c r="E639" s="54"/>
      <c r="F639" s="54"/>
      <c r="G639" s="54"/>
      <c r="H639" s="56"/>
      <c r="I639" s="56"/>
      <c r="R639" s="54"/>
      <c r="S639" s="54"/>
      <c r="T639" s="54"/>
      <c r="U639" s="54">
        <f t="shared" si="81"/>
        <v>0</v>
      </c>
      <c r="V639" s="54">
        <f t="shared" si="82"/>
        <v>0</v>
      </c>
      <c r="W639" s="54">
        <f t="shared" si="83"/>
        <v>0</v>
      </c>
    </row>
    <row r="640" spans="1:23" ht="27.6" hidden="1" x14ac:dyDescent="0.25">
      <c r="A640" s="52" t="str">
        <f t="shared" si="80"/>
        <v xml:space="preserve">    - содержание мест общего пользования (ПЖРЭТ), взносы на кап.ремонт</v>
      </c>
      <c r="B640" s="52" t="str">
        <f t="shared" si="80"/>
        <v>244</v>
      </c>
      <c r="C640" s="52" t="str">
        <f t="shared" si="80"/>
        <v>225</v>
      </c>
      <c r="D640" s="53"/>
      <c r="E640" s="54"/>
      <c r="F640" s="54"/>
      <c r="G640" s="54"/>
      <c r="I640" s="56"/>
      <c r="R640" s="54"/>
      <c r="S640" s="54"/>
      <c r="T640" s="54"/>
      <c r="U640" s="54">
        <f t="shared" si="81"/>
        <v>0</v>
      </c>
      <c r="V640" s="54">
        <f t="shared" si="82"/>
        <v>0</v>
      </c>
      <c r="W640" s="54">
        <f t="shared" si="83"/>
        <v>0</v>
      </c>
    </row>
    <row r="641" spans="1:23" hidden="1" x14ac:dyDescent="0.25">
      <c r="A641" s="52" t="str">
        <f t="shared" ref="A641:C660" si="84">A101</f>
        <v xml:space="preserve">    - наружное освещение</v>
      </c>
      <c r="B641" s="52" t="str">
        <f t="shared" si="84"/>
        <v>244</v>
      </c>
      <c r="C641" s="52" t="str">
        <f t="shared" si="84"/>
        <v>225</v>
      </c>
      <c r="D641" s="53"/>
      <c r="E641" s="54"/>
      <c r="F641" s="54"/>
      <c r="G641" s="54"/>
      <c r="I641" s="56"/>
      <c r="R641" s="54"/>
      <c r="S641" s="54"/>
      <c r="T641" s="54"/>
      <c r="U641" s="54">
        <f t="shared" si="81"/>
        <v>0</v>
      </c>
      <c r="V641" s="54">
        <f t="shared" si="82"/>
        <v>0</v>
      </c>
      <c r="W641" s="54">
        <f t="shared" si="83"/>
        <v>0</v>
      </c>
    </row>
    <row r="642" spans="1:23" hidden="1" x14ac:dyDescent="0.25">
      <c r="A642" s="52" t="str">
        <f t="shared" si="84"/>
        <v xml:space="preserve">    - то приборов коммерческого учета</v>
      </c>
      <c r="B642" s="52" t="str">
        <f t="shared" si="84"/>
        <v>244</v>
      </c>
      <c r="C642" s="52" t="str">
        <f t="shared" si="84"/>
        <v>225</v>
      </c>
      <c r="D642" s="53"/>
      <c r="E642" s="54"/>
      <c r="F642" s="54"/>
      <c r="G642" s="54"/>
      <c r="I642" s="56"/>
      <c r="R642" s="54"/>
      <c r="S642" s="54"/>
      <c r="T642" s="54"/>
      <c r="U642" s="54">
        <f t="shared" si="81"/>
        <v>0</v>
      </c>
      <c r="V642" s="54">
        <f t="shared" si="82"/>
        <v>0</v>
      </c>
      <c r="W642" s="54">
        <f t="shared" si="83"/>
        <v>0</v>
      </c>
    </row>
    <row r="643" spans="1:23" hidden="1" x14ac:dyDescent="0.25">
      <c r="A643" s="52" t="str">
        <f t="shared" si="84"/>
        <v xml:space="preserve">    - дезинфекция</v>
      </c>
      <c r="B643" s="52" t="str">
        <f t="shared" si="84"/>
        <v>244</v>
      </c>
      <c r="C643" s="52" t="str">
        <f t="shared" si="84"/>
        <v>225</v>
      </c>
      <c r="D643" s="53"/>
      <c r="E643" s="54"/>
      <c r="F643" s="54"/>
      <c r="G643" s="54"/>
      <c r="I643" s="56"/>
      <c r="R643" s="54"/>
      <c r="S643" s="54"/>
      <c r="T643" s="54"/>
      <c r="U643" s="54">
        <f t="shared" si="81"/>
        <v>0</v>
      </c>
      <c r="V643" s="54">
        <f t="shared" si="82"/>
        <v>0</v>
      </c>
      <c r="W643" s="54">
        <f t="shared" si="83"/>
        <v>0</v>
      </c>
    </row>
    <row r="644" spans="1:23" hidden="1" x14ac:dyDescent="0.25">
      <c r="A644" s="52" t="str">
        <f t="shared" si="84"/>
        <v xml:space="preserve">    - то видеонаблюдения</v>
      </c>
      <c r="B644" s="52" t="str">
        <f t="shared" si="84"/>
        <v>244</v>
      </c>
      <c r="C644" s="52" t="str">
        <f t="shared" si="84"/>
        <v>225</v>
      </c>
      <c r="D644" s="53"/>
      <c r="E644" s="54"/>
      <c r="F644" s="54"/>
      <c r="G644" s="54"/>
      <c r="I644" s="56"/>
      <c r="R644" s="54"/>
      <c r="S644" s="54"/>
      <c r="T644" s="54"/>
      <c r="U644" s="54">
        <f t="shared" si="81"/>
        <v>0</v>
      </c>
      <c r="V644" s="54">
        <f t="shared" si="82"/>
        <v>0</v>
      </c>
      <c r="W644" s="54">
        <f t="shared" si="83"/>
        <v>0</v>
      </c>
    </row>
    <row r="645" spans="1:23" hidden="1" x14ac:dyDescent="0.25">
      <c r="A645" s="52" t="str">
        <f t="shared" si="84"/>
        <v xml:space="preserve">    - то пожарно-охранной сигнализации</v>
      </c>
      <c r="B645" s="52" t="str">
        <f t="shared" si="84"/>
        <v>244</v>
      </c>
      <c r="C645" s="52" t="str">
        <f t="shared" si="84"/>
        <v>225</v>
      </c>
      <c r="D645" s="53"/>
      <c r="E645" s="54"/>
      <c r="F645" s="54"/>
      <c r="G645" s="54"/>
      <c r="I645" s="56"/>
      <c r="R645" s="54"/>
      <c r="S645" s="54"/>
      <c r="T645" s="54"/>
      <c r="U645" s="54">
        <f t="shared" si="81"/>
        <v>0</v>
      </c>
      <c r="V645" s="54">
        <f t="shared" si="82"/>
        <v>0</v>
      </c>
      <c r="W645" s="54">
        <f t="shared" si="83"/>
        <v>0</v>
      </c>
    </row>
    <row r="646" spans="1:23" hidden="1" x14ac:dyDescent="0.25">
      <c r="A646" s="52" t="str">
        <f t="shared" si="84"/>
        <v xml:space="preserve">    - монтаж (регулировка) дверей/окон</v>
      </c>
      <c r="B646" s="52" t="str">
        <f t="shared" si="84"/>
        <v>244</v>
      </c>
      <c r="C646" s="52" t="str">
        <f t="shared" si="84"/>
        <v>225</v>
      </c>
      <c r="D646" s="53"/>
      <c r="E646" s="54"/>
      <c r="F646" s="54"/>
      <c r="G646" s="54"/>
      <c r="I646" s="56"/>
      <c r="R646" s="54"/>
      <c r="S646" s="54"/>
      <c r="T646" s="54"/>
      <c r="U646" s="54">
        <f t="shared" si="81"/>
        <v>0</v>
      </c>
      <c r="V646" s="54">
        <f t="shared" si="82"/>
        <v>0</v>
      </c>
      <c r="W646" s="54">
        <f t="shared" si="83"/>
        <v>0</v>
      </c>
    </row>
    <row r="647" spans="1:23" hidden="1" x14ac:dyDescent="0.25">
      <c r="A647" s="52" t="str">
        <f t="shared" si="84"/>
        <v xml:space="preserve">    - заправка картриджей</v>
      </c>
      <c r="B647" s="52" t="str">
        <f t="shared" si="84"/>
        <v>244</v>
      </c>
      <c r="C647" s="52" t="str">
        <f t="shared" si="84"/>
        <v>225</v>
      </c>
      <c r="D647" s="53"/>
      <c r="E647" s="54"/>
      <c r="F647" s="54"/>
      <c r="G647" s="54"/>
      <c r="I647" s="56"/>
      <c r="R647" s="54"/>
      <c r="S647" s="54"/>
      <c r="T647" s="54"/>
      <c r="U647" s="54">
        <f t="shared" si="81"/>
        <v>0</v>
      </c>
      <c r="V647" s="54">
        <f t="shared" si="82"/>
        <v>0</v>
      </c>
      <c r="W647" s="54">
        <f t="shared" si="83"/>
        <v>0</v>
      </c>
    </row>
    <row r="648" spans="1:23" ht="27.6" hidden="1" x14ac:dyDescent="0.25">
      <c r="A648" s="52" t="str">
        <f t="shared" si="84"/>
        <v xml:space="preserve">    - обслуживание кнопки тревожной сигнализации</v>
      </c>
      <c r="B648" s="52" t="str">
        <f t="shared" si="84"/>
        <v>244</v>
      </c>
      <c r="C648" s="52" t="str">
        <f t="shared" si="84"/>
        <v>225</v>
      </c>
      <c r="D648" s="53"/>
      <c r="E648" s="54"/>
      <c r="F648" s="54"/>
      <c r="G648" s="54"/>
      <c r="I648" s="56"/>
      <c r="R648" s="54"/>
      <c r="S648" s="54"/>
      <c r="T648" s="54"/>
      <c r="U648" s="54">
        <f t="shared" si="81"/>
        <v>0</v>
      </c>
      <c r="V648" s="54">
        <f t="shared" si="82"/>
        <v>0</v>
      </c>
      <c r="W648" s="54">
        <f t="shared" si="83"/>
        <v>0</v>
      </c>
    </row>
    <row r="649" spans="1:23" hidden="1" x14ac:dyDescent="0.25">
      <c r="A649" s="52" t="str">
        <f t="shared" si="84"/>
        <v xml:space="preserve">    - то компьютерного оборудования</v>
      </c>
      <c r="B649" s="52" t="str">
        <f t="shared" si="84"/>
        <v>244</v>
      </c>
      <c r="C649" s="52" t="str">
        <f t="shared" si="84"/>
        <v>225</v>
      </c>
      <c r="D649" s="53"/>
      <c r="E649" s="54"/>
      <c r="F649" s="54"/>
      <c r="G649" s="54"/>
      <c r="I649" s="56"/>
      <c r="R649" s="54"/>
      <c r="S649" s="54"/>
      <c r="T649" s="54"/>
      <c r="U649" s="54">
        <f t="shared" si="81"/>
        <v>0</v>
      </c>
      <c r="V649" s="54">
        <f t="shared" si="82"/>
        <v>0</v>
      </c>
      <c r="W649" s="54">
        <f t="shared" si="83"/>
        <v>0</v>
      </c>
    </row>
    <row r="650" spans="1:23" hidden="1" x14ac:dyDescent="0.25">
      <c r="A650" s="52" t="str">
        <f t="shared" si="84"/>
        <v xml:space="preserve">    - Химчистка</v>
      </c>
      <c r="B650" s="52" t="str">
        <f t="shared" si="84"/>
        <v>244</v>
      </c>
      <c r="C650" s="52" t="str">
        <f t="shared" si="84"/>
        <v>225</v>
      </c>
      <c r="D650" s="53"/>
      <c r="E650" s="54"/>
      <c r="F650" s="54"/>
      <c r="G650" s="54"/>
      <c r="I650" s="56"/>
      <c r="R650" s="54"/>
      <c r="S650" s="54"/>
      <c r="T650" s="54"/>
      <c r="U650" s="54">
        <f t="shared" si="81"/>
        <v>0</v>
      </c>
      <c r="V650" s="54">
        <f t="shared" si="82"/>
        <v>0</v>
      </c>
      <c r="W650" s="54">
        <f t="shared" si="83"/>
        <v>0</v>
      </c>
    </row>
    <row r="651" spans="1:23" hidden="1" x14ac:dyDescent="0.25">
      <c r="A651" s="52" t="str">
        <f t="shared" si="84"/>
        <v xml:space="preserve">    - поверка средств имерения</v>
      </c>
      <c r="B651" s="52" t="str">
        <f t="shared" si="84"/>
        <v>244</v>
      </c>
      <c r="C651" s="52" t="str">
        <f t="shared" si="84"/>
        <v>225</v>
      </c>
      <c r="D651" s="53"/>
      <c r="E651" s="54"/>
      <c r="F651" s="54"/>
      <c r="G651" s="54"/>
      <c r="I651" s="56"/>
      <c r="R651" s="54"/>
      <c r="S651" s="54"/>
      <c r="T651" s="54"/>
      <c r="U651" s="54">
        <f t="shared" si="81"/>
        <v>0</v>
      </c>
      <c r="V651" s="54">
        <f t="shared" si="82"/>
        <v>0</v>
      </c>
      <c r="W651" s="54">
        <f t="shared" si="83"/>
        <v>0</v>
      </c>
    </row>
    <row r="652" spans="1:23" hidden="1" x14ac:dyDescent="0.25">
      <c r="A652" s="52" t="str">
        <f t="shared" si="84"/>
        <v xml:space="preserve">    - вывоз ТКО</v>
      </c>
      <c r="B652" s="52" t="str">
        <f t="shared" si="84"/>
        <v>244</v>
      </c>
      <c r="C652" s="52" t="str">
        <f t="shared" si="84"/>
        <v>225</v>
      </c>
      <c r="D652" s="53"/>
      <c r="E652" s="54"/>
      <c r="F652" s="54"/>
      <c r="G652" s="54"/>
      <c r="I652" s="56"/>
      <c r="R652" s="54"/>
      <c r="S652" s="54"/>
      <c r="T652" s="54"/>
      <c r="U652" s="54">
        <f t="shared" si="81"/>
        <v>0</v>
      </c>
      <c r="V652" s="54">
        <f t="shared" si="82"/>
        <v>0</v>
      </c>
      <c r="W652" s="54">
        <f t="shared" si="83"/>
        <v>0</v>
      </c>
    </row>
    <row r="653" spans="1:23" hidden="1" x14ac:dyDescent="0.25">
      <c r="A653" s="52" t="str">
        <f t="shared" si="84"/>
        <v xml:space="preserve">    - текущий ремонт оборудования</v>
      </c>
      <c r="B653" s="52" t="str">
        <f t="shared" si="84"/>
        <v>244</v>
      </c>
      <c r="C653" s="52" t="str">
        <f t="shared" si="84"/>
        <v>225</v>
      </c>
      <c r="D653" s="53"/>
      <c r="E653" s="54"/>
      <c r="F653" s="54"/>
      <c r="G653" s="54"/>
      <c r="I653" s="56"/>
      <c r="R653" s="54"/>
      <c r="S653" s="54"/>
      <c r="T653" s="54"/>
      <c r="U653" s="54">
        <f t="shared" si="81"/>
        <v>0</v>
      </c>
      <c r="V653" s="54">
        <f t="shared" si="82"/>
        <v>0</v>
      </c>
      <c r="W653" s="54">
        <f t="shared" si="83"/>
        <v>0</v>
      </c>
    </row>
    <row r="654" spans="1:23" hidden="1" x14ac:dyDescent="0.25">
      <c r="A654" s="52" t="str">
        <f t="shared" si="84"/>
        <v xml:space="preserve">    - испытание диэлектрических средств защиты</v>
      </c>
      <c r="B654" s="52" t="str">
        <f t="shared" si="84"/>
        <v>244</v>
      </c>
      <c r="C654" s="52" t="str">
        <f t="shared" si="84"/>
        <v>225</v>
      </c>
      <c r="D654" s="53"/>
      <c r="E654" s="54"/>
      <c r="F654" s="54"/>
      <c r="G654" s="54"/>
      <c r="I654" s="56"/>
      <c r="R654" s="54"/>
      <c r="S654" s="54"/>
      <c r="T654" s="54"/>
      <c r="U654" s="54">
        <f t="shared" si="81"/>
        <v>0</v>
      </c>
      <c r="V654" s="54">
        <f t="shared" si="82"/>
        <v>0</v>
      </c>
      <c r="W654" s="54">
        <f t="shared" si="83"/>
        <v>0</v>
      </c>
    </row>
    <row r="655" spans="1:23" hidden="1" x14ac:dyDescent="0.25">
      <c r="A655" s="52" t="str">
        <f t="shared" si="84"/>
        <v xml:space="preserve">    - гидравлические испытания пожарных рукавов</v>
      </c>
      <c r="B655" s="52" t="str">
        <f t="shared" si="84"/>
        <v>244</v>
      </c>
      <c r="C655" s="52" t="str">
        <f t="shared" si="84"/>
        <v>225</v>
      </c>
      <c r="D655" s="53"/>
      <c r="E655" s="54"/>
      <c r="F655" s="54"/>
      <c r="G655" s="54"/>
      <c r="I655" s="56"/>
      <c r="R655" s="54"/>
      <c r="S655" s="54"/>
      <c r="T655" s="54"/>
      <c r="U655" s="54">
        <f t="shared" si="81"/>
        <v>0</v>
      </c>
      <c r="V655" s="54">
        <f t="shared" si="82"/>
        <v>0</v>
      </c>
      <c r="W655" s="54">
        <f t="shared" si="83"/>
        <v>0</v>
      </c>
    </row>
    <row r="656" spans="1:23" hidden="1" x14ac:dyDescent="0.25">
      <c r="A656" s="52" t="str">
        <f t="shared" si="84"/>
        <v xml:space="preserve">    - монтаж уличного освещения</v>
      </c>
      <c r="B656" s="52" t="str">
        <f t="shared" si="84"/>
        <v>244</v>
      </c>
      <c r="C656" s="52" t="str">
        <f t="shared" si="84"/>
        <v>225</v>
      </c>
      <c r="D656" s="53"/>
      <c r="E656" s="54"/>
      <c r="F656" s="54"/>
      <c r="G656" s="54"/>
      <c r="I656" s="56"/>
      <c r="R656" s="54"/>
      <c r="S656" s="54"/>
      <c r="T656" s="54"/>
      <c r="U656" s="54">
        <f t="shared" si="81"/>
        <v>0</v>
      </c>
      <c r="V656" s="54">
        <f t="shared" si="82"/>
        <v>0</v>
      </c>
      <c r="W656" s="54">
        <f t="shared" si="83"/>
        <v>0</v>
      </c>
    </row>
    <row r="657" spans="1:23" hidden="1" x14ac:dyDescent="0.25">
      <c r="A657" s="52" t="str">
        <f t="shared" si="84"/>
        <v xml:space="preserve">    - противоклещевая обработка</v>
      </c>
      <c r="B657" s="52" t="str">
        <f t="shared" si="84"/>
        <v>244</v>
      </c>
      <c r="C657" s="52" t="str">
        <f t="shared" si="84"/>
        <v>225</v>
      </c>
      <c r="D657" s="53"/>
      <c r="E657" s="54"/>
      <c r="F657" s="54"/>
      <c r="G657" s="54"/>
      <c r="I657" s="56"/>
      <c r="R657" s="54"/>
      <c r="S657" s="54"/>
      <c r="T657" s="54"/>
      <c r="U657" s="54">
        <f t="shared" si="81"/>
        <v>0</v>
      </c>
      <c r="V657" s="54">
        <f t="shared" si="82"/>
        <v>0</v>
      </c>
      <c r="W657" s="54">
        <f t="shared" si="83"/>
        <v>0</v>
      </c>
    </row>
    <row r="658" spans="1:23" hidden="1" x14ac:dyDescent="0.25">
      <c r="A658" s="52" t="str">
        <f t="shared" si="84"/>
        <v xml:space="preserve">    - сервисное обслуживание приборов тепла</v>
      </c>
      <c r="B658" s="52" t="str">
        <f t="shared" si="84"/>
        <v>244</v>
      </c>
      <c r="C658" s="52" t="str">
        <f t="shared" si="84"/>
        <v>225</v>
      </c>
      <c r="D658" s="53"/>
      <c r="E658" s="54"/>
      <c r="F658" s="54"/>
      <c r="G658" s="54"/>
      <c r="I658" s="56"/>
      <c r="R658" s="54"/>
      <c r="S658" s="54"/>
      <c r="T658" s="54"/>
      <c r="U658" s="54">
        <f t="shared" ref="U658:U682" si="85">E658-R658</f>
        <v>0</v>
      </c>
      <c r="V658" s="54">
        <f t="shared" ref="V658:V682" si="86">F658-S658</f>
        <v>0</v>
      </c>
      <c r="W658" s="54">
        <f t="shared" ref="W658:W682" si="87">G658-T658</f>
        <v>0</v>
      </c>
    </row>
    <row r="659" spans="1:23" s="45" customFormat="1" hidden="1" x14ac:dyDescent="0.25">
      <c r="A659" s="52" t="str">
        <f t="shared" si="84"/>
        <v xml:space="preserve"> - прочие работы, услуги, всего:</v>
      </c>
      <c r="B659" s="52" t="str">
        <f t="shared" si="84"/>
        <v>244</v>
      </c>
      <c r="C659" s="52" t="str">
        <f t="shared" si="84"/>
        <v>226</v>
      </c>
      <c r="D659" s="104"/>
      <c r="E659" s="62">
        <f>SUM(E660:E675)</f>
        <v>0</v>
      </c>
      <c r="F659" s="62">
        <f>SUM(F660:F675)</f>
        <v>0</v>
      </c>
      <c r="G659" s="62">
        <f>SUM(G660:G675)</f>
        <v>0</v>
      </c>
      <c r="H659" s="63"/>
      <c r="I659" s="63"/>
      <c r="R659" s="62"/>
      <c r="S659" s="62"/>
      <c r="T659" s="62"/>
      <c r="U659" s="62">
        <f t="shared" si="85"/>
        <v>0</v>
      </c>
      <c r="V659" s="62">
        <f t="shared" si="86"/>
        <v>0</v>
      </c>
      <c r="W659" s="62">
        <f t="shared" si="87"/>
        <v>0</v>
      </c>
    </row>
    <row r="660" spans="1:23" s="58" customFormat="1" hidden="1" x14ac:dyDescent="0.25">
      <c r="A660" s="52" t="str">
        <f t="shared" si="84"/>
        <v xml:space="preserve">    - специальная оценка условий труда</v>
      </c>
      <c r="B660" s="52" t="str">
        <f t="shared" si="84"/>
        <v>244</v>
      </c>
      <c r="C660" s="52" t="str">
        <f t="shared" si="84"/>
        <v>226</v>
      </c>
      <c r="D660" s="53"/>
      <c r="E660" s="54"/>
      <c r="F660" s="54"/>
      <c r="G660" s="54"/>
      <c r="H660" s="49"/>
      <c r="I660" s="56"/>
      <c r="R660" s="54"/>
      <c r="S660" s="54"/>
      <c r="T660" s="54"/>
      <c r="U660" s="54">
        <f t="shared" si="85"/>
        <v>0</v>
      </c>
      <c r="V660" s="54">
        <f t="shared" si="86"/>
        <v>0</v>
      </c>
      <c r="W660" s="54">
        <f t="shared" si="87"/>
        <v>0</v>
      </c>
    </row>
    <row r="661" spans="1:23" s="58" customFormat="1" ht="27.6" hidden="1" x14ac:dyDescent="0.25">
      <c r="A661" s="52" t="str">
        <f t="shared" ref="A661:C680" si="88">A121</f>
        <v xml:space="preserve">    - услуги автотранспорта (доставка строительных материалов, вывоз веток и пр.)</v>
      </c>
      <c r="B661" s="52" t="str">
        <f t="shared" si="88"/>
        <v>244</v>
      </c>
      <c r="C661" s="52" t="str">
        <f t="shared" si="88"/>
        <v>226</v>
      </c>
      <c r="D661" s="53"/>
      <c r="E661" s="54"/>
      <c r="F661" s="54"/>
      <c r="G661" s="54"/>
      <c r="H661" s="49"/>
      <c r="I661" s="56"/>
      <c r="R661" s="54"/>
      <c r="S661" s="54"/>
      <c r="T661" s="54"/>
      <c r="U661" s="54">
        <f t="shared" si="85"/>
        <v>0</v>
      </c>
      <c r="V661" s="54">
        <f t="shared" si="86"/>
        <v>0</v>
      </c>
      <c r="W661" s="54">
        <f t="shared" si="87"/>
        <v>0</v>
      </c>
    </row>
    <row r="662" spans="1:23" s="58" customFormat="1" hidden="1" x14ac:dyDescent="0.25">
      <c r="A662" s="52" t="str">
        <f t="shared" si="88"/>
        <v xml:space="preserve">    - ПО (СБИС)</v>
      </c>
      <c r="B662" s="52" t="str">
        <f t="shared" si="88"/>
        <v>244</v>
      </c>
      <c r="C662" s="52" t="str">
        <f t="shared" si="88"/>
        <v>226</v>
      </c>
      <c r="D662" s="53"/>
      <c r="E662" s="54"/>
      <c r="F662" s="54"/>
      <c r="G662" s="54"/>
      <c r="H662" s="49"/>
      <c r="I662" s="56"/>
      <c r="R662" s="54"/>
      <c r="S662" s="54"/>
      <c r="T662" s="54"/>
      <c r="U662" s="54">
        <f t="shared" si="85"/>
        <v>0</v>
      </c>
      <c r="V662" s="54">
        <f t="shared" si="86"/>
        <v>0</v>
      </c>
      <c r="W662" s="54">
        <f t="shared" si="87"/>
        <v>0</v>
      </c>
    </row>
    <row r="663" spans="1:23" s="58" customFormat="1" hidden="1" x14ac:dyDescent="0.25">
      <c r="A663" s="52" t="str">
        <f t="shared" si="88"/>
        <v xml:space="preserve">    - организация питания</v>
      </c>
      <c r="B663" s="52" t="str">
        <f t="shared" si="88"/>
        <v>244</v>
      </c>
      <c r="C663" s="52" t="str">
        <f t="shared" si="88"/>
        <v>226</v>
      </c>
      <c r="D663" s="53"/>
      <c r="E663" s="54"/>
      <c r="F663" s="54"/>
      <c r="G663" s="54"/>
      <c r="H663" s="49"/>
      <c r="I663" s="56"/>
      <c r="R663" s="54"/>
      <c r="S663" s="54"/>
      <c r="T663" s="54"/>
      <c r="U663" s="54">
        <f t="shared" si="85"/>
        <v>0</v>
      </c>
      <c r="V663" s="54">
        <f t="shared" si="86"/>
        <v>0</v>
      </c>
      <c r="W663" s="54">
        <f t="shared" si="87"/>
        <v>0</v>
      </c>
    </row>
    <row r="664" spans="1:23" s="58" customFormat="1" ht="27.6" hidden="1" x14ac:dyDescent="0.25">
      <c r="A664" s="52" t="str">
        <f t="shared" si="88"/>
        <v xml:space="preserve">    - расчет проектно-сметной документации (ремонт крыльца, речевое оповещение)</v>
      </c>
      <c r="B664" s="52" t="str">
        <f t="shared" si="88"/>
        <v>244</v>
      </c>
      <c r="C664" s="52" t="str">
        <f t="shared" si="88"/>
        <v>226</v>
      </c>
      <c r="D664" s="53"/>
      <c r="E664" s="54"/>
      <c r="F664" s="54"/>
      <c r="G664" s="54"/>
      <c r="H664" s="49"/>
      <c r="I664" s="56"/>
      <c r="R664" s="54"/>
      <c r="S664" s="54"/>
      <c r="T664" s="54"/>
      <c r="U664" s="54">
        <f t="shared" si="85"/>
        <v>0</v>
      </c>
      <c r="V664" s="54">
        <f t="shared" si="86"/>
        <v>0</v>
      </c>
      <c r="W664" s="54">
        <f t="shared" si="87"/>
        <v>0</v>
      </c>
    </row>
    <row r="665" spans="1:23" s="58" customFormat="1" hidden="1" x14ac:dyDescent="0.25">
      <c r="A665" s="52" t="str">
        <f t="shared" si="88"/>
        <v xml:space="preserve">    - оплата услуг бухгалтерии</v>
      </c>
      <c r="B665" s="52" t="str">
        <f t="shared" si="88"/>
        <v>244</v>
      </c>
      <c r="C665" s="52" t="str">
        <f t="shared" si="88"/>
        <v>226</v>
      </c>
      <c r="D665" s="53"/>
      <c r="E665" s="54"/>
      <c r="F665" s="54"/>
      <c r="G665" s="54"/>
      <c r="H665" s="49"/>
      <c r="I665" s="56"/>
      <c r="R665" s="54"/>
      <c r="S665" s="54"/>
      <c r="T665" s="54"/>
      <c r="U665" s="54">
        <f t="shared" si="85"/>
        <v>0</v>
      </c>
      <c r="V665" s="54">
        <f t="shared" si="86"/>
        <v>0</v>
      </c>
      <c r="W665" s="54">
        <f t="shared" si="87"/>
        <v>0</v>
      </c>
    </row>
    <row r="666" spans="1:23" s="58" customFormat="1" hidden="1" x14ac:dyDescent="0.25">
      <c r="A666" s="52" t="str">
        <f t="shared" si="88"/>
        <v xml:space="preserve">    - услуги банка</v>
      </c>
      <c r="B666" s="52" t="str">
        <f t="shared" si="88"/>
        <v>244</v>
      </c>
      <c r="C666" s="52" t="str">
        <f t="shared" si="88"/>
        <v>226</v>
      </c>
      <c r="D666" s="53"/>
      <c r="E666" s="54"/>
      <c r="F666" s="54"/>
      <c r="G666" s="54"/>
      <c r="H666" s="49"/>
      <c r="I666" s="56"/>
      <c r="R666" s="54"/>
      <c r="S666" s="54"/>
      <c r="T666" s="54"/>
      <c r="U666" s="54">
        <f t="shared" si="85"/>
        <v>0</v>
      </c>
      <c r="V666" s="54">
        <f t="shared" si="86"/>
        <v>0</v>
      </c>
      <c r="W666" s="54">
        <f t="shared" si="87"/>
        <v>0</v>
      </c>
    </row>
    <row r="667" spans="1:23" s="58" customFormat="1" hidden="1" x14ac:dyDescent="0.25">
      <c r="A667" s="52" t="str">
        <f t="shared" si="88"/>
        <v xml:space="preserve">    - обслуживание компьютерных программ</v>
      </c>
      <c r="B667" s="52" t="str">
        <f t="shared" si="88"/>
        <v>244</v>
      </c>
      <c r="C667" s="52" t="str">
        <f t="shared" si="88"/>
        <v>226</v>
      </c>
      <c r="D667" s="53"/>
      <c r="E667" s="54"/>
      <c r="F667" s="54"/>
      <c r="G667" s="54"/>
      <c r="H667" s="49"/>
      <c r="I667" s="56"/>
      <c r="R667" s="54"/>
      <c r="S667" s="54"/>
      <c r="T667" s="54"/>
      <c r="U667" s="54">
        <f t="shared" si="85"/>
        <v>0</v>
      </c>
      <c r="V667" s="54">
        <f t="shared" si="86"/>
        <v>0</v>
      </c>
      <c r="W667" s="54">
        <f t="shared" si="87"/>
        <v>0</v>
      </c>
    </row>
    <row r="668" spans="1:23" hidden="1" x14ac:dyDescent="0.25">
      <c r="A668" s="52" t="str">
        <f t="shared" si="88"/>
        <v xml:space="preserve">    - установка сигнализации</v>
      </c>
      <c r="B668" s="52" t="str">
        <f t="shared" si="88"/>
        <v>244</v>
      </c>
      <c r="C668" s="52" t="str">
        <f t="shared" si="88"/>
        <v>226</v>
      </c>
      <c r="D668" s="53"/>
      <c r="E668" s="54"/>
      <c r="F668" s="54"/>
      <c r="G668" s="54"/>
      <c r="I668" s="56"/>
      <c r="R668" s="54"/>
      <c r="S668" s="54"/>
      <c r="T668" s="54"/>
      <c r="U668" s="54">
        <f t="shared" si="85"/>
        <v>0</v>
      </c>
      <c r="V668" s="54">
        <f t="shared" si="86"/>
        <v>0</v>
      </c>
      <c r="W668" s="54">
        <f t="shared" si="87"/>
        <v>0</v>
      </c>
    </row>
    <row r="669" spans="1:23" hidden="1" x14ac:dyDescent="0.25">
      <c r="A669" s="52" t="str">
        <f t="shared" si="88"/>
        <v xml:space="preserve">    - оказание консалтинговых услуг</v>
      </c>
      <c r="B669" s="52" t="str">
        <f t="shared" si="88"/>
        <v>244</v>
      </c>
      <c r="C669" s="52" t="str">
        <f t="shared" si="88"/>
        <v>226</v>
      </c>
      <c r="D669" s="53"/>
      <c r="E669" s="54"/>
      <c r="F669" s="54"/>
      <c r="G669" s="54"/>
      <c r="I669" s="56"/>
      <c r="R669" s="54"/>
      <c r="S669" s="54"/>
      <c r="T669" s="54"/>
      <c r="U669" s="54">
        <f t="shared" si="85"/>
        <v>0</v>
      </c>
      <c r="V669" s="54">
        <f t="shared" si="86"/>
        <v>0</v>
      </c>
      <c r="W669" s="54">
        <f t="shared" si="87"/>
        <v>0</v>
      </c>
    </row>
    <row r="670" spans="1:23" ht="27.6" hidden="1" x14ac:dyDescent="0.25">
      <c r="A670" s="52" t="str">
        <f t="shared" si="88"/>
        <v xml:space="preserve">    - монтаж решетчатой металлической двери в тепловом узле</v>
      </c>
      <c r="B670" s="52" t="str">
        <f t="shared" si="88"/>
        <v>244</v>
      </c>
      <c r="C670" s="52" t="str">
        <f t="shared" si="88"/>
        <v>226</v>
      </c>
      <c r="D670" s="53"/>
      <c r="E670" s="54"/>
      <c r="F670" s="54"/>
      <c r="G670" s="54"/>
      <c r="I670" s="56"/>
      <c r="R670" s="54"/>
      <c r="S670" s="54"/>
      <c r="T670" s="54"/>
      <c r="U670" s="54">
        <f t="shared" si="85"/>
        <v>0</v>
      </c>
      <c r="V670" s="54">
        <f t="shared" si="86"/>
        <v>0</v>
      </c>
      <c r="W670" s="54">
        <f t="shared" si="87"/>
        <v>0</v>
      </c>
    </row>
    <row r="671" spans="1:23" hidden="1" x14ac:dyDescent="0.25">
      <c r="A671" s="52" t="str">
        <f t="shared" si="88"/>
        <v xml:space="preserve">    - мониторинг охранно-пожарной сигнализации</v>
      </c>
      <c r="B671" s="52" t="str">
        <f t="shared" si="88"/>
        <v>244</v>
      </c>
      <c r="C671" s="52" t="str">
        <f t="shared" si="88"/>
        <v>226</v>
      </c>
      <c r="D671" s="53"/>
      <c r="E671" s="54"/>
      <c r="F671" s="54"/>
      <c r="G671" s="54"/>
      <c r="I671" s="56"/>
      <c r="R671" s="54"/>
      <c r="S671" s="54"/>
      <c r="T671" s="54"/>
      <c r="U671" s="54">
        <f t="shared" si="85"/>
        <v>0</v>
      </c>
      <c r="V671" s="54">
        <f t="shared" si="86"/>
        <v>0</v>
      </c>
      <c r="W671" s="54">
        <f t="shared" si="87"/>
        <v>0</v>
      </c>
    </row>
    <row r="672" spans="1:23" hidden="1" x14ac:dyDescent="0.25">
      <c r="A672" s="52" t="str">
        <f t="shared" si="88"/>
        <v xml:space="preserve">    - переплет документов</v>
      </c>
      <c r="B672" s="52" t="str">
        <f t="shared" si="88"/>
        <v>244</v>
      </c>
      <c r="C672" s="52" t="str">
        <f t="shared" si="88"/>
        <v>226</v>
      </c>
      <c r="D672" s="53"/>
      <c r="E672" s="54"/>
      <c r="F672" s="54"/>
      <c r="G672" s="54"/>
      <c r="I672" s="56"/>
      <c r="R672" s="54"/>
      <c r="S672" s="54"/>
      <c r="T672" s="54"/>
      <c r="U672" s="54">
        <f t="shared" si="85"/>
        <v>0</v>
      </c>
      <c r="V672" s="54">
        <f t="shared" si="86"/>
        <v>0</v>
      </c>
      <c r="W672" s="54">
        <f t="shared" si="87"/>
        <v>0</v>
      </c>
    </row>
    <row r="673" spans="1:23" hidden="1" x14ac:dyDescent="0.25">
      <c r="A673" s="52" t="str">
        <f t="shared" si="88"/>
        <v xml:space="preserve">    - вневедомственная охрана</v>
      </c>
      <c r="B673" s="52" t="str">
        <f t="shared" si="88"/>
        <v>244</v>
      </c>
      <c r="C673" s="52" t="str">
        <f t="shared" si="88"/>
        <v>226</v>
      </c>
      <c r="D673" s="53"/>
      <c r="E673" s="54"/>
      <c r="F673" s="54"/>
      <c r="G673" s="54"/>
      <c r="I673" s="56"/>
      <c r="R673" s="54"/>
      <c r="S673" s="54"/>
      <c r="T673" s="54"/>
      <c r="U673" s="54">
        <f t="shared" si="85"/>
        <v>0</v>
      </c>
      <c r="V673" s="54">
        <f t="shared" si="86"/>
        <v>0</v>
      </c>
      <c r="W673" s="54">
        <f t="shared" si="87"/>
        <v>0</v>
      </c>
    </row>
    <row r="674" spans="1:23" hidden="1" x14ac:dyDescent="0.25">
      <c r="A674" s="52" t="str">
        <f t="shared" si="88"/>
        <v xml:space="preserve">    - лицензированная охрана</v>
      </c>
      <c r="B674" s="52" t="str">
        <f t="shared" si="88"/>
        <v>244</v>
      </c>
      <c r="C674" s="52" t="str">
        <f t="shared" si="88"/>
        <v>226</v>
      </c>
      <c r="D674" s="53"/>
      <c r="E674" s="54"/>
      <c r="F674" s="54"/>
      <c r="G674" s="54"/>
      <c r="I674" s="56"/>
      <c r="R674" s="54"/>
      <c r="S674" s="54"/>
      <c r="T674" s="54"/>
      <c r="U674" s="54">
        <f t="shared" si="85"/>
        <v>0</v>
      </c>
      <c r="V674" s="54">
        <f t="shared" si="86"/>
        <v>0</v>
      </c>
      <c r="W674" s="54">
        <f t="shared" si="87"/>
        <v>0</v>
      </c>
    </row>
    <row r="675" spans="1:23" hidden="1" x14ac:dyDescent="0.25">
      <c r="A675" s="52" t="str">
        <f t="shared" si="88"/>
        <v xml:space="preserve">    - курсы повышения квалификации</v>
      </c>
      <c r="B675" s="52" t="str">
        <f t="shared" si="88"/>
        <v>244</v>
      </c>
      <c r="C675" s="52" t="str">
        <f t="shared" si="88"/>
        <v>226</v>
      </c>
      <c r="D675" s="53"/>
      <c r="E675" s="54"/>
      <c r="F675" s="54"/>
      <c r="G675" s="54"/>
      <c r="I675" s="56"/>
      <c r="R675" s="54"/>
      <c r="S675" s="54"/>
      <c r="T675" s="54"/>
      <c r="U675" s="54">
        <f t="shared" si="85"/>
        <v>0</v>
      </c>
      <c r="V675" s="54">
        <f t="shared" si="86"/>
        <v>0</v>
      </c>
      <c r="W675" s="54">
        <f t="shared" si="87"/>
        <v>0</v>
      </c>
    </row>
    <row r="676" spans="1:23" hidden="1" x14ac:dyDescent="0.25">
      <c r="A676" s="52" t="str">
        <f t="shared" si="88"/>
        <v xml:space="preserve">    - монтаж охранно-пожарной сигнализации</v>
      </c>
      <c r="B676" s="52" t="str">
        <f t="shared" si="88"/>
        <v>244</v>
      </c>
      <c r="C676" s="52" t="str">
        <f t="shared" si="88"/>
        <v>228</v>
      </c>
      <c r="D676" s="53"/>
      <c r="E676" s="54"/>
      <c r="F676" s="54"/>
      <c r="G676" s="54"/>
      <c r="I676" s="56"/>
      <c r="R676" s="54"/>
      <c r="S676" s="54"/>
      <c r="T676" s="54"/>
      <c r="U676" s="54">
        <f t="shared" si="85"/>
        <v>0</v>
      </c>
      <c r="V676" s="54">
        <f t="shared" si="86"/>
        <v>0</v>
      </c>
      <c r="W676" s="54">
        <f t="shared" si="87"/>
        <v>0</v>
      </c>
    </row>
    <row r="677" spans="1:23" ht="27.6" hidden="1" x14ac:dyDescent="0.25">
      <c r="A677" s="52" t="str">
        <f t="shared" si="88"/>
        <v xml:space="preserve"> - выплаты ув.сотрудникам и их родственникам (3 дн.б/л, МП)</v>
      </c>
      <c r="B677" s="52" t="str">
        <f t="shared" si="88"/>
        <v>321</v>
      </c>
      <c r="C677" s="52" t="str">
        <f t="shared" si="88"/>
        <v>264</v>
      </c>
      <c r="D677" s="53" t="s">
        <v>37</v>
      </c>
      <c r="E677" s="54"/>
      <c r="F677" s="54"/>
      <c r="G677" s="54"/>
      <c r="I677" s="56"/>
      <c r="R677" s="54"/>
      <c r="S677" s="54"/>
      <c r="T677" s="54"/>
      <c r="U677" s="54">
        <f t="shared" si="85"/>
        <v>0</v>
      </c>
      <c r="V677" s="54">
        <f t="shared" si="86"/>
        <v>0</v>
      </c>
      <c r="W677" s="54">
        <f t="shared" si="87"/>
        <v>0</v>
      </c>
    </row>
    <row r="678" spans="1:23" hidden="1" x14ac:dyDescent="0.25">
      <c r="A678" s="52" t="str">
        <f t="shared" si="88"/>
        <v xml:space="preserve"> - выплата МП неработающим пенсионерам</v>
      </c>
      <c r="B678" s="52" t="str">
        <f t="shared" si="88"/>
        <v>321</v>
      </c>
      <c r="C678" s="52" t="str">
        <f t="shared" si="88"/>
        <v>296</v>
      </c>
      <c r="D678" s="53" t="s">
        <v>37</v>
      </c>
      <c r="E678" s="54"/>
      <c r="F678" s="54"/>
      <c r="G678" s="54"/>
      <c r="I678" s="56"/>
      <c r="R678" s="54"/>
      <c r="S678" s="54"/>
      <c r="T678" s="54"/>
      <c r="U678" s="54">
        <f t="shared" si="85"/>
        <v>0</v>
      </c>
      <c r="V678" s="54">
        <f t="shared" si="86"/>
        <v>0</v>
      </c>
      <c r="W678" s="54">
        <f t="shared" si="87"/>
        <v>0</v>
      </c>
    </row>
    <row r="679" spans="1:23" s="58" customFormat="1" hidden="1" x14ac:dyDescent="0.25">
      <c r="A679" s="52" t="str">
        <f t="shared" si="88"/>
        <v xml:space="preserve"> - прочие налоги и сборы</v>
      </c>
      <c r="B679" s="52" t="str">
        <f t="shared" si="88"/>
        <v>852</v>
      </c>
      <c r="C679" s="52" t="str">
        <f t="shared" si="88"/>
        <v>291</v>
      </c>
      <c r="D679" s="53" t="s">
        <v>37</v>
      </c>
      <c r="E679" s="54"/>
      <c r="F679" s="54"/>
      <c r="G679" s="54"/>
      <c r="H679" s="57"/>
      <c r="I679" s="57"/>
      <c r="R679" s="54"/>
      <c r="S679" s="54"/>
      <c r="T679" s="54"/>
      <c r="U679" s="54">
        <f t="shared" si="85"/>
        <v>0</v>
      </c>
      <c r="V679" s="54">
        <f t="shared" si="86"/>
        <v>0</v>
      </c>
      <c r="W679" s="54">
        <f t="shared" si="87"/>
        <v>0</v>
      </c>
    </row>
    <row r="680" spans="1:23" s="58" customFormat="1" ht="41.4" hidden="1" x14ac:dyDescent="0.25">
      <c r="A680" s="52" t="str">
        <f t="shared" si="88"/>
        <v xml:space="preserve"> - пеня</v>
      </c>
      <c r="B680" s="52" t="str">
        <f t="shared" si="88"/>
        <v>853</v>
      </c>
      <c r="C680" s="52" t="str">
        <f t="shared" si="88"/>
        <v>292,
295,
293</v>
      </c>
      <c r="D680" s="53" t="s">
        <v>37</v>
      </c>
      <c r="E680" s="54"/>
      <c r="F680" s="54"/>
      <c r="G680" s="54"/>
      <c r="I680" s="57"/>
      <c r="R680" s="54"/>
      <c r="S680" s="54"/>
      <c r="T680" s="54"/>
      <c r="U680" s="54">
        <f t="shared" si="85"/>
        <v>0</v>
      </c>
      <c r="V680" s="54">
        <f t="shared" si="86"/>
        <v>0</v>
      </c>
      <c r="W680" s="54">
        <f t="shared" si="87"/>
        <v>0</v>
      </c>
    </row>
    <row r="681" spans="1:23" hidden="1" x14ac:dyDescent="0.25">
      <c r="A681" s="52" t="str">
        <f t="shared" ref="A681:C700" si="89">A141</f>
        <v xml:space="preserve"> - налог на имущество</v>
      </c>
      <c r="B681" s="52" t="str">
        <f t="shared" si="89"/>
        <v>851</v>
      </c>
      <c r="C681" s="52" t="str">
        <f t="shared" si="89"/>
        <v>291</v>
      </c>
      <c r="D681" s="53" t="s">
        <v>37</v>
      </c>
      <c r="E681" s="54"/>
      <c r="F681" s="54"/>
      <c r="G681" s="54"/>
      <c r="H681" s="56"/>
      <c r="I681" s="56"/>
      <c r="R681" s="54"/>
      <c r="S681" s="54"/>
      <c r="T681" s="54"/>
      <c r="U681" s="54">
        <f t="shared" si="85"/>
        <v>0</v>
      </c>
      <c r="V681" s="54">
        <f t="shared" si="86"/>
        <v>0</v>
      </c>
      <c r="W681" s="54">
        <f t="shared" si="87"/>
        <v>0</v>
      </c>
    </row>
    <row r="682" spans="1:23" ht="27.6" hidden="1" x14ac:dyDescent="0.25">
      <c r="A682" s="52" t="str">
        <f t="shared" si="89"/>
        <v xml:space="preserve"> - компенсация расходов (морального вреда) по решению суда</v>
      </c>
      <c r="B682" s="52" t="str">
        <f t="shared" si="89"/>
        <v>831</v>
      </c>
      <c r="C682" s="52" t="str">
        <f t="shared" si="89"/>
        <v>296</v>
      </c>
      <c r="D682" s="53" t="s">
        <v>37</v>
      </c>
      <c r="E682" s="54"/>
      <c r="F682" s="54"/>
      <c r="G682" s="54"/>
      <c r="H682" s="56"/>
      <c r="I682" s="56"/>
      <c r="R682" s="54"/>
      <c r="S682" s="54"/>
      <c r="T682" s="54"/>
      <c r="U682" s="54">
        <f t="shared" si="85"/>
        <v>0</v>
      </c>
      <c r="V682" s="54">
        <f t="shared" si="86"/>
        <v>0</v>
      </c>
      <c r="W682" s="54">
        <f t="shared" si="87"/>
        <v>0</v>
      </c>
    </row>
    <row r="683" spans="1:23" ht="27.6" hidden="1" x14ac:dyDescent="0.25">
      <c r="A683" s="52" t="str">
        <f t="shared" si="89"/>
        <v xml:space="preserve"> - разработка проектно-сметной документации на капитальный ремонт крыши</v>
      </c>
      <c r="B683" s="52" t="str">
        <f t="shared" si="89"/>
        <v>243</v>
      </c>
      <c r="C683" s="52" t="str">
        <f t="shared" si="89"/>
        <v>226</v>
      </c>
      <c r="D683" s="53"/>
      <c r="E683" s="54"/>
      <c r="F683" s="54"/>
      <c r="G683" s="54"/>
      <c r="H683" s="56"/>
      <c r="I683" s="56"/>
      <c r="R683" s="54"/>
      <c r="S683" s="54"/>
      <c r="T683" s="54"/>
      <c r="U683" s="54"/>
      <c r="V683" s="54"/>
      <c r="W683" s="54"/>
    </row>
    <row r="684" spans="1:23" s="118" customFormat="1" hidden="1" x14ac:dyDescent="0.25">
      <c r="A684" s="115" t="str">
        <f t="shared" si="89"/>
        <v xml:space="preserve"> - увеличение стоимости основных средств</v>
      </c>
      <c r="B684" s="115" t="str">
        <f t="shared" si="89"/>
        <v>244</v>
      </c>
      <c r="C684" s="115" t="str">
        <f t="shared" si="89"/>
        <v>310</v>
      </c>
      <c r="D684" s="60"/>
      <c r="E684" s="61">
        <f>SUM(E685:E693)</f>
        <v>0</v>
      </c>
      <c r="F684" s="61">
        <f>SUM(F685:F693)</f>
        <v>0</v>
      </c>
      <c r="G684" s="61">
        <f>SUM(G685:G693)</f>
        <v>0</v>
      </c>
      <c r="H684" s="117"/>
      <c r="I684" s="117"/>
      <c r="R684" s="61"/>
      <c r="S684" s="61"/>
      <c r="T684" s="61"/>
      <c r="U684" s="61">
        <f t="shared" ref="U684:U715" si="90">E684-R684</f>
        <v>0</v>
      </c>
      <c r="V684" s="61">
        <f t="shared" ref="V684:V715" si="91">F684-S684</f>
        <v>0</v>
      </c>
      <c r="W684" s="61">
        <f t="shared" ref="W684:W715" si="92">G684-T684</f>
        <v>0</v>
      </c>
    </row>
    <row r="685" spans="1:23" s="118" customFormat="1" hidden="1" x14ac:dyDescent="0.25">
      <c r="A685" s="64" t="str">
        <f t="shared" si="89"/>
        <v xml:space="preserve"> - компьютерная техника</v>
      </c>
      <c r="B685" s="64" t="str">
        <f t="shared" si="89"/>
        <v>244</v>
      </c>
      <c r="C685" s="64" t="str">
        <f t="shared" si="89"/>
        <v>310</v>
      </c>
      <c r="D685" s="119"/>
      <c r="E685" s="120"/>
      <c r="F685" s="120"/>
      <c r="G685" s="120"/>
      <c r="H685" s="117"/>
      <c r="I685" s="117"/>
      <c r="R685" s="120"/>
      <c r="S685" s="120"/>
      <c r="T685" s="120"/>
      <c r="U685" s="120">
        <f t="shared" si="90"/>
        <v>0</v>
      </c>
      <c r="V685" s="120">
        <f t="shared" si="91"/>
        <v>0</v>
      </c>
      <c r="W685" s="120">
        <f t="shared" si="92"/>
        <v>0</v>
      </c>
    </row>
    <row r="686" spans="1:23" s="118" customFormat="1" hidden="1" x14ac:dyDescent="0.25">
      <c r="A686" s="64" t="str">
        <f t="shared" si="89"/>
        <v xml:space="preserve"> - кондиционеры</v>
      </c>
      <c r="B686" s="64" t="str">
        <f t="shared" si="89"/>
        <v>244</v>
      </c>
      <c r="C686" s="64" t="str">
        <f t="shared" si="89"/>
        <v>310</v>
      </c>
      <c r="D686" s="119"/>
      <c r="E686" s="120"/>
      <c r="F686" s="120"/>
      <c r="G686" s="120"/>
      <c r="H686" s="117"/>
      <c r="I686" s="117"/>
      <c r="R686" s="120"/>
      <c r="S686" s="120"/>
      <c r="T686" s="120"/>
      <c r="U686" s="120">
        <f t="shared" si="90"/>
        <v>0</v>
      </c>
      <c r="V686" s="120">
        <f t="shared" si="91"/>
        <v>0</v>
      </c>
      <c r="W686" s="120">
        <f t="shared" si="92"/>
        <v>0</v>
      </c>
    </row>
    <row r="687" spans="1:23" s="118" customFormat="1" hidden="1" x14ac:dyDescent="0.25">
      <c r="A687" s="64" t="str">
        <f t="shared" si="89"/>
        <v xml:space="preserve"> - мебель</v>
      </c>
      <c r="B687" s="64" t="str">
        <f t="shared" si="89"/>
        <v>244</v>
      </c>
      <c r="C687" s="64" t="str">
        <f t="shared" si="89"/>
        <v>310</v>
      </c>
      <c r="D687" s="119"/>
      <c r="E687" s="120"/>
      <c r="F687" s="120"/>
      <c r="G687" s="120"/>
      <c r="H687" s="117"/>
      <c r="I687" s="117"/>
      <c r="R687" s="120"/>
      <c r="S687" s="120"/>
      <c r="T687" s="120"/>
      <c r="U687" s="120">
        <f t="shared" si="90"/>
        <v>0</v>
      </c>
      <c r="V687" s="120">
        <f t="shared" si="91"/>
        <v>0</v>
      </c>
      <c r="W687" s="120">
        <f t="shared" si="92"/>
        <v>0</v>
      </c>
    </row>
    <row r="688" spans="1:23" s="118" customFormat="1" hidden="1" x14ac:dyDescent="0.25">
      <c r="A688" s="64" t="str">
        <f t="shared" si="89"/>
        <v xml:space="preserve"> - оборудование</v>
      </c>
      <c r="B688" s="64" t="str">
        <f t="shared" si="89"/>
        <v>244</v>
      </c>
      <c r="C688" s="64" t="str">
        <f t="shared" si="89"/>
        <v>310</v>
      </c>
      <c r="D688" s="119"/>
      <c r="E688" s="120"/>
      <c r="F688" s="120"/>
      <c r="G688" s="120"/>
      <c r="H688" s="117"/>
      <c r="I688" s="117"/>
      <c r="R688" s="120"/>
      <c r="S688" s="120"/>
      <c r="T688" s="120"/>
      <c r="U688" s="120">
        <f t="shared" si="90"/>
        <v>0</v>
      </c>
      <c r="V688" s="120">
        <f t="shared" si="91"/>
        <v>0</v>
      </c>
      <c r="W688" s="120">
        <f t="shared" si="92"/>
        <v>0</v>
      </c>
    </row>
    <row r="689" spans="1:23" s="118" customFormat="1" hidden="1" x14ac:dyDescent="0.25">
      <c r="A689" s="64" t="str">
        <f t="shared" si="89"/>
        <v xml:space="preserve"> - инструмент и инвентарь</v>
      </c>
      <c r="B689" s="64" t="str">
        <f t="shared" si="89"/>
        <v>244</v>
      </c>
      <c r="C689" s="64" t="str">
        <f t="shared" si="89"/>
        <v>310</v>
      </c>
      <c r="D689" s="119"/>
      <c r="E689" s="120"/>
      <c r="F689" s="120"/>
      <c r="G689" s="120"/>
      <c r="H689" s="117"/>
      <c r="I689" s="117"/>
      <c r="R689" s="120"/>
      <c r="S689" s="120"/>
      <c r="T689" s="120"/>
      <c r="U689" s="120">
        <f t="shared" si="90"/>
        <v>0</v>
      </c>
      <c r="V689" s="120">
        <f t="shared" si="91"/>
        <v>0</v>
      </c>
      <c r="W689" s="120">
        <f t="shared" si="92"/>
        <v>0</v>
      </c>
    </row>
    <row r="690" spans="1:23" s="118" customFormat="1" hidden="1" x14ac:dyDescent="0.25">
      <c r="A690" s="64" t="str">
        <f t="shared" si="89"/>
        <v xml:space="preserve"> - турникет</v>
      </c>
      <c r="B690" s="64" t="str">
        <f t="shared" si="89"/>
        <v>244</v>
      </c>
      <c r="C690" s="64" t="str">
        <f t="shared" si="89"/>
        <v>310</v>
      </c>
      <c r="D690" s="119"/>
      <c r="E690" s="120"/>
      <c r="F690" s="120"/>
      <c r="G690" s="120"/>
      <c r="H690" s="117"/>
      <c r="I690" s="117"/>
      <c r="R690" s="120"/>
      <c r="S690" s="120"/>
      <c r="T690" s="120"/>
      <c r="U690" s="120">
        <f t="shared" si="90"/>
        <v>0</v>
      </c>
      <c r="V690" s="120">
        <f t="shared" si="91"/>
        <v>0</v>
      </c>
      <c r="W690" s="120">
        <f t="shared" si="92"/>
        <v>0</v>
      </c>
    </row>
    <row r="691" spans="1:23" s="118" customFormat="1" hidden="1" x14ac:dyDescent="0.25">
      <c r="A691" s="64" t="str">
        <f t="shared" si="89"/>
        <v xml:space="preserve"> - жалюзи</v>
      </c>
      <c r="B691" s="64" t="str">
        <f t="shared" si="89"/>
        <v>244</v>
      </c>
      <c r="C691" s="64" t="str">
        <f t="shared" si="89"/>
        <v>310</v>
      </c>
      <c r="D691" s="119"/>
      <c r="E691" s="120"/>
      <c r="F691" s="120"/>
      <c r="G691" s="120"/>
      <c r="H691" s="117"/>
      <c r="I691" s="117"/>
      <c r="R691" s="120"/>
      <c r="S691" s="120"/>
      <c r="T691" s="120"/>
      <c r="U691" s="120">
        <f t="shared" si="90"/>
        <v>0</v>
      </c>
      <c r="V691" s="120">
        <f t="shared" si="91"/>
        <v>0</v>
      </c>
      <c r="W691" s="120">
        <f t="shared" si="92"/>
        <v>0</v>
      </c>
    </row>
    <row r="692" spans="1:23" s="118" customFormat="1" hidden="1" x14ac:dyDescent="0.25">
      <c r="A692" s="64" t="str">
        <f t="shared" si="89"/>
        <v xml:space="preserve"> - игрушки</v>
      </c>
      <c r="B692" s="64" t="str">
        <f t="shared" si="89"/>
        <v>244</v>
      </c>
      <c r="C692" s="64" t="str">
        <f t="shared" si="89"/>
        <v>310</v>
      </c>
      <c r="D692" s="119"/>
      <c r="E692" s="120"/>
      <c r="F692" s="120"/>
      <c r="G692" s="120"/>
      <c r="H692" s="117"/>
      <c r="I692" s="117"/>
      <c r="R692" s="120"/>
      <c r="S692" s="120"/>
      <c r="T692" s="120"/>
      <c r="U692" s="120">
        <f t="shared" si="90"/>
        <v>0</v>
      </c>
      <c r="V692" s="120">
        <f t="shared" si="91"/>
        <v>0</v>
      </c>
      <c r="W692" s="120">
        <f t="shared" si="92"/>
        <v>0</v>
      </c>
    </row>
    <row r="693" spans="1:23" s="118" customFormat="1" hidden="1" x14ac:dyDescent="0.25">
      <c r="A693" s="64" t="str">
        <f t="shared" si="89"/>
        <v xml:space="preserve"> - металлические входные двери</v>
      </c>
      <c r="B693" s="64" t="str">
        <f t="shared" si="89"/>
        <v>244</v>
      </c>
      <c r="C693" s="64" t="str">
        <f t="shared" si="89"/>
        <v>310</v>
      </c>
      <c r="D693" s="119"/>
      <c r="E693" s="120"/>
      <c r="F693" s="120"/>
      <c r="G693" s="120"/>
      <c r="H693" s="117"/>
      <c r="I693" s="117"/>
      <c r="R693" s="120"/>
      <c r="S693" s="120"/>
      <c r="T693" s="120"/>
      <c r="U693" s="120">
        <f t="shared" si="90"/>
        <v>0</v>
      </c>
      <c r="V693" s="120">
        <f t="shared" si="91"/>
        <v>0</v>
      </c>
      <c r="W693" s="120">
        <f t="shared" si="92"/>
        <v>0</v>
      </c>
    </row>
    <row r="694" spans="1:23" s="45" customFormat="1" ht="27.6" hidden="1" x14ac:dyDescent="0.25">
      <c r="A694" s="52" t="str">
        <f t="shared" si="89"/>
        <v xml:space="preserve"> - увеличение стоимости материальных запасов, всего:</v>
      </c>
      <c r="B694" s="52" t="str">
        <f t="shared" si="89"/>
        <v>244</v>
      </c>
      <c r="C694" s="52" t="str">
        <f t="shared" si="89"/>
        <v>340</v>
      </c>
      <c r="D694" s="104"/>
      <c r="E694" s="62">
        <f>SUM(E695:E709)</f>
        <v>0</v>
      </c>
      <c r="F694" s="62">
        <f>SUM(F695:F709)</f>
        <v>0</v>
      </c>
      <c r="G694" s="62">
        <f>SUM(G695:G709)</f>
        <v>0</v>
      </c>
      <c r="H694" s="63"/>
      <c r="I694" s="63"/>
      <c r="R694" s="62"/>
      <c r="S694" s="62"/>
      <c r="T694" s="62"/>
      <c r="U694" s="62">
        <f t="shared" si="90"/>
        <v>0</v>
      </c>
      <c r="V694" s="62">
        <f t="shared" si="91"/>
        <v>0</v>
      </c>
      <c r="W694" s="62">
        <f t="shared" si="92"/>
        <v>0</v>
      </c>
    </row>
    <row r="695" spans="1:23" s="58" customFormat="1" hidden="1" x14ac:dyDescent="0.25">
      <c r="A695" s="52" t="str">
        <f t="shared" si="89"/>
        <v xml:space="preserve"> - ГСМ</v>
      </c>
      <c r="B695" s="52" t="str">
        <f t="shared" si="89"/>
        <v>244</v>
      </c>
      <c r="C695" s="52" t="str">
        <f t="shared" si="89"/>
        <v>343</v>
      </c>
      <c r="D695" s="53" t="s">
        <v>268</v>
      </c>
      <c r="E695" s="54"/>
      <c r="F695" s="54"/>
      <c r="G695" s="54"/>
      <c r="H695" s="57"/>
      <c r="I695" s="57"/>
      <c r="R695" s="54"/>
      <c r="S695" s="54"/>
      <c r="T695" s="54"/>
      <c r="U695" s="54">
        <f t="shared" si="90"/>
        <v>0</v>
      </c>
      <c r="V695" s="54">
        <f t="shared" si="91"/>
        <v>0</v>
      </c>
      <c r="W695" s="54">
        <f t="shared" si="92"/>
        <v>0</v>
      </c>
    </row>
    <row r="696" spans="1:23" s="58" customFormat="1" hidden="1" x14ac:dyDescent="0.25">
      <c r="A696" s="52" t="str">
        <f t="shared" si="89"/>
        <v xml:space="preserve"> - продукты питания</v>
      </c>
      <c r="B696" s="52" t="str">
        <f t="shared" si="89"/>
        <v>244</v>
      </c>
      <c r="C696" s="52" t="str">
        <f t="shared" si="89"/>
        <v>342</v>
      </c>
      <c r="D696" s="53" t="s">
        <v>268</v>
      </c>
      <c r="E696" s="54"/>
      <c r="F696" s="54"/>
      <c r="G696" s="54"/>
      <c r="H696" s="57"/>
      <c r="I696" s="57"/>
      <c r="R696" s="54"/>
      <c r="S696" s="54"/>
      <c r="T696" s="54"/>
      <c r="U696" s="54">
        <f t="shared" si="90"/>
        <v>0</v>
      </c>
      <c r="V696" s="54">
        <f t="shared" si="91"/>
        <v>0</v>
      </c>
      <c r="W696" s="54">
        <f t="shared" si="92"/>
        <v>0</v>
      </c>
    </row>
    <row r="697" spans="1:23" s="58" customFormat="1" hidden="1" x14ac:dyDescent="0.25">
      <c r="A697" s="52" t="str">
        <f t="shared" si="89"/>
        <v xml:space="preserve"> - расходные материалы к комп.технике</v>
      </c>
      <c r="B697" s="52" t="str">
        <f t="shared" si="89"/>
        <v>244</v>
      </c>
      <c r="C697" s="52" t="str">
        <f t="shared" si="89"/>
        <v>346</v>
      </c>
      <c r="D697" s="53" t="s">
        <v>268</v>
      </c>
      <c r="E697" s="54"/>
      <c r="F697" s="54"/>
      <c r="G697" s="54"/>
      <c r="H697" s="57"/>
      <c r="I697" s="57"/>
      <c r="R697" s="54"/>
      <c r="S697" s="54"/>
      <c r="T697" s="54"/>
      <c r="U697" s="54">
        <f t="shared" si="90"/>
        <v>0</v>
      </c>
      <c r="V697" s="54">
        <f t="shared" si="91"/>
        <v>0</v>
      </c>
      <c r="W697" s="54">
        <f t="shared" si="92"/>
        <v>0</v>
      </c>
    </row>
    <row r="698" spans="1:23" s="58" customFormat="1" hidden="1" x14ac:dyDescent="0.25">
      <c r="A698" s="52" t="str">
        <f t="shared" si="89"/>
        <v xml:space="preserve"> - медикаменты</v>
      </c>
      <c r="B698" s="52" t="str">
        <f t="shared" si="89"/>
        <v>244</v>
      </c>
      <c r="C698" s="52" t="str">
        <f t="shared" si="89"/>
        <v>341</v>
      </c>
      <c r="D698" s="53" t="s">
        <v>268</v>
      </c>
      <c r="E698" s="54"/>
      <c r="F698" s="54"/>
      <c r="G698" s="54"/>
      <c r="H698" s="57"/>
      <c r="I698" s="57"/>
      <c r="R698" s="54"/>
      <c r="S698" s="54"/>
      <c r="T698" s="54"/>
      <c r="U698" s="54">
        <f t="shared" si="90"/>
        <v>0</v>
      </c>
      <c r="V698" s="54">
        <f t="shared" si="91"/>
        <v>0</v>
      </c>
      <c r="W698" s="54">
        <f t="shared" si="92"/>
        <v>0</v>
      </c>
    </row>
    <row r="699" spans="1:23" s="58" customFormat="1" hidden="1" x14ac:dyDescent="0.25">
      <c r="A699" s="52" t="str">
        <f t="shared" si="89"/>
        <v xml:space="preserve"> - строительные материалы</v>
      </c>
      <c r="B699" s="52" t="str">
        <f t="shared" si="89"/>
        <v>244</v>
      </c>
      <c r="C699" s="52" t="str">
        <f t="shared" si="89"/>
        <v>344</v>
      </c>
      <c r="D699" s="53" t="s">
        <v>268</v>
      </c>
      <c r="E699" s="54"/>
      <c r="F699" s="54"/>
      <c r="G699" s="54"/>
      <c r="H699" s="57"/>
      <c r="I699" s="57"/>
      <c r="R699" s="54"/>
      <c r="S699" s="54"/>
      <c r="T699" s="54"/>
      <c r="U699" s="54">
        <f t="shared" si="90"/>
        <v>0</v>
      </c>
      <c r="V699" s="54">
        <f t="shared" si="91"/>
        <v>0</v>
      </c>
      <c r="W699" s="54">
        <f t="shared" si="92"/>
        <v>0</v>
      </c>
    </row>
    <row r="700" spans="1:23" s="58" customFormat="1" hidden="1" x14ac:dyDescent="0.25">
      <c r="A700" s="52" t="str">
        <f t="shared" si="89"/>
        <v xml:space="preserve"> - ворота, калитка</v>
      </c>
      <c r="B700" s="52" t="str">
        <f t="shared" si="89"/>
        <v>244</v>
      </c>
      <c r="C700" s="52" t="str">
        <f t="shared" si="89"/>
        <v>344</v>
      </c>
      <c r="D700" s="53" t="s">
        <v>268</v>
      </c>
      <c r="E700" s="54"/>
      <c r="F700" s="54"/>
      <c r="G700" s="54"/>
      <c r="H700" s="57"/>
      <c r="I700" s="57"/>
      <c r="R700" s="54"/>
      <c r="S700" s="54"/>
      <c r="T700" s="54"/>
      <c r="U700" s="54">
        <f t="shared" si="90"/>
        <v>0</v>
      </c>
      <c r="V700" s="54">
        <f t="shared" si="91"/>
        <v>0</v>
      </c>
      <c r="W700" s="54">
        <f t="shared" si="92"/>
        <v>0</v>
      </c>
    </row>
    <row r="701" spans="1:23" s="58" customFormat="1" hidden="1" x14ac:dyDescent="0.25">
      <c r="A701" s="52" t="str">
        <f t="shared" ref="A701:C709" si="93">A161</f>
        <v xml:space="preserve"> - канцелярские товары</v>
      </c>
      <c r="B701" s="52" t="str">
        <f t="shared" si="93"/>
        <v>244</v>
      </c>
      <c r="C701" s="52" t="str">
        <f t="shared" si="93"/>
        <v>346</v>
      </c>
      <c r="D701" s="53" t="s">
        <v>268</v>
      </c>
      <c r="E701" s="54"/>
      <c r="F701" s="54"/>
      <c r="G701" s="54"/>
      <c r="H701" s="57"/>
      <c r="I701" s="57"/>
      <c r="R701" s="54"/>
      <c r="S701" s="54"/>
      <c r="T701" s="54"/>
      <c r="U701" s="54">
        <f t="shared" si="90"/>
        <v>0</v>
      </c>
      <c r="V701" s="54">
        <f t="shared" si="91"/>
        <v>0</v>
      </c>
      <c r="W701" s="54">
        <f t="shared" si="92"/>
        <v>0</v>
      </c>
    </row>
    <row r="702" spans="1:23" s="58" customFormat="1" hidden="1" x14ac:dyDescent="0.25">
      <c r="A702" s="52" t="str">
        <f t="shared" si="93"/>
        <v xml:space="preserve"> - хозяйственные товары, электрика</v>
      </c>
      <c r="B702" s="52" t="str">
        <f t="shared" si="93"/>
        <v>244</v>
      </c>
      <c r="C702" s="52" t="str">
        <f t="shared" si="93"/>
        <v>346</v>
      </c>
      <c r="D702" s="53" t="s">
        <v>268</v>
      </c>
      <c r="E702" s="54"/>
      <c r="F702" s="54"/>
      <c r="G702" s="54"/>
      <c r="H702" s="57"/>
      <c r="I702" s="57"/>
      <c r="R702" s="54"/>
      <c r="S702" s="54"/>
      <c r="T702" s="54"/>
      <c r="U702" s="54">
        <f t="shared" si="90"/>
        <v>0</v>
      </c>
      <c r="V702" s="54">
        <f t="shared" si="91"/>
        <v>0</v>
      </c>
      <c r="W702" s="54">
        <f t="shared" si="92"/>
        <v>0</v>
      </c>
    </row>
    <row r="703" spans="1:23" s="58" customFormat="1" hidden="1" x14ac:dyDescent="0.25">
      <c r="A703" s="52" t="str">
        <f t="shared" si="93"/>
        <v xml:space="preserve"> - бланки</v>
      </c>
      <c r="B703" s="52" t="str">
        <f t="shared" si="93"/>
        <v>244</v>
      </c>
      <c r="C703" s="52" t="str">
        <f t="shared" si="93"/>
        <v>346</v>
      </c>
      <c r="D703" s="53" t="s">
        <v>268</v>
      </c>
      <c r="E703" s="54"/>
      <c r="F703" s="54"/>
      <c r="G703" s="54"/>
      <c r="H703" s="57"/>
      <c r="I703" s="57"/>
      <c r="R703" s="54"/>
      <c r="S703" s="54"/>
      <c r="T703" s="54"/>
      <c r="U703" s="54">
        <f t="shared" si="90"/>
        <v>0</v>
      </c>
      <c r="V703" s="54">
        <f t="shared" si="91"/>
        <v>0</v>
      </c>
      <c r="W703" s="54">
        <f t="shared" si="92"/>
        <v>0</v>
      </c>
    </row>
    <row r="704" spans="1:23" s="58" customFormat="1" hidden="1" x14ac:dyDescent="0.25">
      <c r="A704" s="52" t="str">
        <f t="shared" si="93"/>
        <v xml:space="preserve"> - моющие</v>
      </c>
      <c r="B704" s="52" t="str">
        <f t="shared" si="93"/>
        <v>244</v>
      </c>
      <c r="C704" s="52" t="str">
        <f t="shared" si="93"/>
        <v>346</v>
      </c>
      <c r="D704" s="53" t="s">
        <v>268</v>
      </c>
      <c r="E704" s="54"/>
      <c r="F704" s="54"/>
      <c r="G704" s="54"/>
      <c r="H704" s="57"/>
      <c r="I704" s="57"/>
      <c r="R704" s="54"/>
      <c r="S704" s="54"/>
      <c r="T704" s="54"/>
      <c r="U704" s="54">
        <f t="shared" si="90"/>
        <v>0</v>
      </c>
      <c r="V704" s="54">
        <f t="shared" si="91"/>
        <v>0</v>
      </c>
      <c r="W704" s="54">
        <f t="shared" si="92"/>
        <v>0</v>
      </c>
    </row>
    <row r="705" spans="1:23" s="58" customFormat="1" hidden="1" x14ac:dyDescent="0.25">
      <c r="A705" s="52" t="str">
        <f t="shared" si="93"/>
        <v xml:space="preserve"> - новогодние подарки детям сотрудников</v>
      </c>
      <c r="B705" s="52" t="str">
        <f t="shared" si="93"/>
        <v>244</v>
      </c>
      <c r="C705" s="52" t="str">
        <f t="shared" si="93"/>
        <v>349</v>
      </c>
      <c r="D705" s="53" t="s">
        <v>268</v>
      </c>
      <c r="E705" s="54"/>
      <c r="F705" s="54"/>
      <c r="G705" s="54"/>
      <c r="H705" s="57"/>
      <c r="I705" s="57"/>
      <c r="R705" s="54"/>
      <c r="S705" s="54"/>
      <c r="T705" s="54"/>
      <c r="U705" s="54">
        <f t="shared" si="90"/>
        <v>0</v>
      </c>
      <c r="V705" s="54">
        <f t="shared" si="91"/>
        <v>0</v>
      </c>
      <c r="W705" s="54">
        <f t="shared" si="92"/>
        <v>0</v>
      </c>
    </row>
    <row r="706" spans="1:23" s="58" customFormat="1" hidden="1" x14ac:dyDescent="0.25">
      <c r="A706" s="52" t="str">
        <f t="shared" si="93"/>
        <v xml:space="preserve"> - новогодние подарки сотрудникам</v>
      </c>
      <c r="B706" s="52" t="str">
        <f t="shared" si="93"/>
        <v>244</v>
      </c>
      <c r="C706" s="52" t="str">
        <f t="shared" si="93"/>
        <v>349</v>
      </c>
      <c r="D706" s="53"/>
      <c r="E706" s="54"/>
      <c r="F706" s="54"/>
      <c r="G706" s="54"/>
      <c r="H706" s="57"/>
      <c r="I706" s="57"/>
      <c r="R706" s="54"/>
      <c r="S706" s="54"/>
      <c r="T706" s="54"/>
      <c r="U706" s="54">
        <f t="shared" si="90"/>
        <v>0</v>
      </c>
      <c r="V706" s="54">
        <f t="shared" si="91"/>
        <v>0</v>
      </c>
      <c r="W706" s="54">
        <f t="shared" si="92"/>
        <v>0</v>
      </c>
    </row>
    <row r="707" spans="1:23" s="58" customFormat="1" hidden="1" x14ac:dyDescent="0.25">
      <c r="A707" s="52" t="str">
        <f t="shared" si="93"/>
        <v xml:space="preserve"> - прочие материальные запасы</v>
      </c>
      <c r="B707" s="52" t="str">
        <f t="shared" si="93"/>
        <v>244</v>
      </c>
      <c r="C707" s="52" t="str">
        <f t="shared" si="93"/>
        <v>346</v>
      </c>
      <c r="D707" s="53"/>
      <c r="E707" s="54"/>
      <c r="F707" s="54"/>
      <c r="G707" s="54"/>
      <c r="H707" s="57"/>
      <c r="I707" s="57"/>
      <c r="R707" s="54"/>
      <c r="S707" s="54"/>
      <c r="T707" s="54"/>
      <c r="U707" s="54">
        <f t="shared" si="90"/>
        <v>0</v>
      </c>
      <c r="V707" s="54">
        <f t="shared" si="91"/>
        <v>0</v>
      </c>
      <c r="W707" s="54">
        <f t="shared" si="92"/>
        <v>0</v>
      </c>
    </row>
    <row r="708" spans="1:23" s="58" customFormat="1" hidden="1" x14ac:dyDescent="0.25">
      <c r="A708" s="52" t="str">
        <f t="shared" si="93"/>
        <v xml:space="preserve"> - спецодежда МОП</v>
      </c>
      <c r="B708" s="52" t="str">
        <f t="shared" si="93"/>
        <v>244</v>
      </c>
      <c r="C708" s="52" t="str">
        <f t="shared" si="93"/>
        <v>345</v>
      </c>
      <c r="D708" s="53"/>
      <c r="E708" s="54"/>
      <c r="F708" s="54"/>
      <c r="G708" s="54"/>
      <c r="H708" s="57"/>
      <c r="I708" s="57"/>
      <c r="R708" s="54"/>
      <c r="S708" s="54"/>
      <c r="T708" s="54"/>
      <c r="U708" s="54">
        <f t="shared" si="90"/>
        <v>0</v>
      </c>
      <c r="V708" s="54">
        <f t="shared" si="91"/>
        <v>0</v>
      </c>
      <c r="W708" s="54">
        <f t="shared" si="92"/>
        <v>0</v>
      </c>
    </row>
    <row r="709" spans="1:23" s="58" customFormat="1" hidden="1" x14ac:dyDescent="0.25">
      <c r="A709" s="52" t="str">
        <f t="shared" si="93"/>
        <v xml:space="preserve"> - запчасти для а/м</v>
      </c>
      <c r="B709" s="52" t="str">
        <f t="shared" si="93"/>
        <v>244</v>
      </c>
      <c r="C709" s="52" t="str">
        <f t="shared" si="93"/>
        <v>346</v>
      </c>
      <c r="D709" s="53"/>
      <c r="E709" s="54"/>
      <c r="F709" s="54"/>
      <c r="G709" s="54"/>
      <c r="H709" s="57"/>
      <c r="I709" s="57"/>
      <c r="R709" s="54"/>
      <c r="S709" s="54"/>
      <c r="T709" s="54"/>
      <c r="U709" s="54">
        <f t="shared" si="90"/>
        <v>0</v>
      </c>
      <c r="V709" s="54">
        <f t="shared" si="91"/>
        <v>0</v>
      </c>
      <c r="W709" s="54">
        <f t="shared" si="92"/>
        <v>0</v>
      </c>
    </row>
    <row r="710" spans="1:23" s="45" customFormat="1" hidden="1" x14ac:dyDescent="0.25">
      <c r="A710" s="699" t="s">
        <v>348</v>
      </c>
      <c r="B710" s="702"/>
      <c r="C710" s="702"/>
      <c r="D710" s="702" t="s">
        <v>37</v>
      </c>
      <c r="E710" s="703">
        <f>SUM(E711,E712,E713,E714,E715,E716,E717,E725,E723,E749,E767,E769,E770,E771,E772,E774,E784,E721,E724,E768,E720,E722,E766,E773)</f>
        <v>0</v>
      </c>
      <c r="F710" s="703">
        <f>SUM(F711,F712,F713,F714,F715,F716,F717,F725,F723,F749,F767,F769,F770,F771,F772,F774,F784,F721,F724,F768,F720,F722,F766,F773)</f>
        <v>0</v>
      </c>
      <c r="G710" s="703">
        <f>SUM(G711,G712,G713,G714,G715,G716,G717,G725,G723,G749,G767,G769,G770,G771,G772,G774,G784,G721,G724,G768,G720,G722,G766,G773)</f>
        <v>0</v>
      </c>
      <c r="R710" s="61"/>
      <c r="S710" s="61"/>
      <c r="T710" s="61"/>
      <c r="U710" s="61">
        <f t="shared" si="90"/>
        <v>0</v>
      </c>
      <c r="V710" s="61">
        <f t="shared" si="91"/>
        <v>0</v>
      </c>
      <c r="W710" s="61">
        <f t="shared" si="92"/>
        <v>0</v>
      </c>
    </row>
    <row r="711" spans="1:23" hidden="1" x14ac:dyDescent="0.25">
      <c r="A711" s="441" t="str">
        <f t="shared" ref="A711:C730" si="94">A81</f>
        <v xml:space="preserve"> - заработная плата</v>
      </c>
      <c r="B711" s="52" t="str">
        <f t="shared" si="94"/>
        <v>111</v>
      </c>
      <c r="C711" s="52" t="str">
        <f t="shared" si="94"/>
        <v>211</v>
      </c>
      <c r="D711" s="53" t="s">
        <v>37</v>
      </c>
      <c r="E711" s="54"/>
      <c r="F711" s="54"/>
      <c r="G711" s="54"/>
      <c r="H711" s="56"/>
      <c r="R711" s="54"/>
      <c r="S711" s="54"/>
      <c r="T711" s="54"/>
      <c r="U711" s="54">
        <f t="shared" si="90"/>
        <v>0</v>
      </c>
      <c r="V711" s="54">
        <f t="shared" si="91"/>
        <v>0</v>
      </c>
      <c r="W711" s="54">
        <f t="shared" si="92"/>
        <v>0</v>
      </c>
    </row>
    <row r="712" spans="1:23" hidden="1" x14ac:dyDescent="0.25">
      <c r="A712" s="52" t="str">
        <f t="shared" si="94"/>
        <v xml:space="preserve"> - 3 дн б/л за счет работодателя</v>
      </c>
      <c r="B712" s="52" t="str">
        <f t="shared" si="94"/>
        <v>111</v>
      </c>
      <c r="C712" s="52" t="str">
        <f t="shared" si="94"/>
        <v>266</v>
      </c>
      <c r="D712" s="53" t="s">
        <v>37</v>
      </c>
      <c r="E712" s="54"/>
      <c r="F712" s="54"/>
      <c r="G712" s="54"/>
      <c r="H712" s="56"/>
      <c r="R712" s="54"/>
      <c r="S712" s="54"/>
      <c r="T712" s="54"/>
      <c r="U712" s="54">
        <f t="shared" si="90"/>
        <v>0</v>
      </c>
      <c r="V712" s="54">
        <f t="shared" si="91"/>
        <v>0</v>
      </c>
      <c r="W712" s="54">
        <f t="shared" si="92"/>
        <v>0</v>
      </c>
    </row>
    <row r="713" spans="1:23" s="58" customFormat="1" hidden="1" x14ac:dyDescent="0.25">
      <c r="A713" s="52" t="str">
        <f t="shared" si="94"/>
        <v xml:space="preserve"> - пособие по уходу за ребенком</v>
      </c>
      <c r="B713" s="52" t="str">
        <f t="shared" si="94"/>
        <v>112</v>
      </c>
      <c r="C713" s="52" t="str">
        <f t="shared" si="94"/>
        <v>266</v>
      </c>
      <c r="D713" s="53" t="s">
        <v>37</v>
      </c>
      <c r="E713" s="54"/>
      <c r="F713" s="54"/>
      <c r="G713" s="54"/>
      <c r="H713" s="57"/>
      <c r="I713" s="57"/>
      <c r="R713" s="54"/>
      <c r="S713" s="54"/>
      <c r="T713" s="54"/>
      <c r="U713" s="54">
        <f t="shared" si="90"/>
        <v>0</v>
      </c>
      <c r="V713" s="54">
        <f t="shared" si="91"/>
        <v>0</v>
      </c>
      <c r="W713" s="54">
        <f t="shared" si="92"/>
        <v>0</v>
      </c>
    </row>
    <row r="714" spans="1:23" s="58" customFormat="1" hidden="1" x14ac:dyDescent="0.25">
      <c r="A714" s="52" t="str">
        <f t="shared" si="94"/>
        <v xml:space="preserve"> - предварительный мед.осмотр (возм.расх.)</v>
      </c>
      <c r="B714" s="52" t="str">
        <f t="shared" si="94"/>
        <v>112</v>
      </c>
      <c r="C714" s="52" t="str">
        <f t="shared" si="94"/>
        <v>226</v>
      </c>
      <c r="D714" s="53" t="s">
        <v>37</v>
      </c>
      <c r="E714" s="54"/>
      <c r="F714" s="54"/>
      <c r="G714" s="54"/>
      <c r="H714" s="57"/>
      <c r="I714" s="57"/>
      <c r="R714" s="54"/>
      <c r="S714" s="54"/>
      <c r="T714" s="54"/>
      <c r="U714" s="54">
        <f t="shared" si="90"/>
        <v>0</v>
      </c>
      <c r="V714" s="54">
        <f t="shared" si="91"/>
        <v>0</v>
      </c>
      <c r="W714" s="54">
        <f t="shared" si="92"/>
        <v>0</v>
      </c>
    </row>
    <row r="715" spans="1:23" s="58" customFormat="1" hidden="1" x14ac:dyDescent="0.25">
      <c r="A715" s="52" t="str">
        <f t="shared" si="94"/>
        <v xml:space="preserve"> - НДФЛ</v>
      </c>
      <c r="B715" s="52" t="str">
        <f t="shared" si="94"/>
        <v>112</v>
      </c>
      <c r="C715" s="52" t="str">
        <f t="shared" si="94"/>
        <v>266</v>
      </c>
      <c r="D715" s="53" t="s">
        <v>37</v>
      </c>
      <c r="E715" s="54"/>
      <c r="F715" s="54"/>
      <c r="G715" s="54"/>
      <c r="H715" s="57"/>
      <c r="I715" s="57"/>
      <c r="R715" s="54"/>
      <c r="S715" s="54"/>
      <c r="T715" s="54"/>
      <c r="U715" s="54">
        <f t="shared" si="90"/>
        <v>0</v>
      </c>
      <c r="V715" s="54">
        <f t="shared" si="91"/>
        <v>0</v>
      </c>
      <c r="W715" s="54">
        <f t="shared" si="92"/>
        <v>0</v>
      </c>
    </row>
    <row r="716" spans="1:23" hidden="1" x14ac:dyDescent="0.25">
      <c r="A716" s="52" t="str">
        <f t="shared" si="94"/>
        <v xml:space="preserve"> - начисления на оплату труда</v>
      </c>
      <c r="B716" s="52" t="str">
        <f t="shared" si="94"/>
        <v>119</v>
      </c>
      <c r="C716" s="52" t="str">
        <f t="shared" si="94"/>
        <v>213</v>
      </c>
      <c r="D716" s="53" t="s">
        <v>37</v>
      </c>
      <c r="E716" s="54"/>
      <c r="F716" s="54"/>
      <c r="G716" s="54"/>
      <c r="H716" s="56"/>
      <c r="R716" s="54"/>
      <c r="S716" s="54"/>
      <c r="T716" s="54"/>
      <c r="U716" s="54">
        <f t="shared" ref="U716:U747" si="95">E716-R716</f>
        <v>0</v>
      </c>
      <c r="V716" s="54">
        <f t="shared" ref="V716:V747" si="96">F716-S716</f>
        <v>0</v>
      </c>
      <c r="W716" s="54">
        <f t="shared" ref="W716:W747" si="97">G716-T716</f>
        <v>0</v>
      </c>
    </row>
    <row r="717" spans="1:23" s="45" customFormat="1" hidden="1" x14ac:dyDescent="0.25">
      <c r="A717" s="52" t="str">
        <f t="shared" si="94"/>
        <v xml:space="preserve"> - услуги связи, всего:</v>
      </c>
      <c r="B717" s="52" t="str">
        <f t="shared" si="94"/>
        <v>244</v>
      </c>
      <c r="C717" s="52" t="str">
        <f t="shared" si="94"/>
        <v>221</v>
      </c>
      <c r="D717" s="60"/>
      <c r="E717" s="61">
        <f>SUM(E718:E719)</f>
        <v>0</v>
      </c>
      <c r="F717" s="61">
        <f>SUM(F718:F719)</f>
        <v>0</v>
      </c>
      <c r="G717" s="61">
        <f>SUM(G718:G719)</f>
        <v>0</v>
      </c>
      <c r="H717" s="63"/>
      <c r="R717" s="61"/>
      <c r="S717" s="61"/>
      <c r="T717" s="61"/>
      <c r="U717" s="61">
        <f t="shared" si="95"/>
        <v>0</v>
      </c>
      <c r="V717" s="61">
        <f t="shared" si="96"/>
        <v>0</v>
      </c>
      <c r="W717" s="61">
        <f t="shared" si="97"/>
        <v>0</v>
      </c>
    </row>
    <row r="718" spans="1:23" ht="27.6" hidden="1" x14ac:dyDescent="0.25">
      <c r="A718" s="52" t="str">
        <f t="shared" si="94"/>
        <v xml:space="preserve">   в том числе:
    - ГТС и МТС</v>
      </c>
      <c r="B718" s="52" t="str">
        <f t="shared" si="94"/>
        <v>244</v>
      </c>
      <c r="C718" s="52" t="str">
        <f t="shared" si="94"/>
        <v>221</v>
      </c>
      <c r="D718" s="53"/>
      <c r="E718" s="54"/>
      <c r="F718" s="54"/>
      <c r="G718" s="54"/>
      <c r="H718" s="56"/>
      <c r="I718" s="56"/>
      <c r="R718" s="54"/>
      <c r="S718" s="54"/>
      <c r="T718" s="54"/>
      <c r="U718" s="54">
        <f t="shared" si="95"/>
        <v>0</v>
      </c>
      <c r="V718" s="54">
        <f t="shared" si="96"/>
        <v>0</v>
      </c>
      <c r="W718" s="54">
        <f t="shared" si="97"/>
        <v>0</v>
      </c>
    </row>
    <row r="719" spans="1:23" s="58" customFormat="1" hidden="1" x14ac:dyDescent="0.25">
      <c r="A719" s="52" t="str">
        <f t="shared" si="94"/>
        <v xml:space="preserve">    - интернет </v>
      </c>
      <c r="B719" s="52" t="str">
        <f t="shared" si="94"/>
        <v>244</v>
      </c>
      <c r="C719" s="52" t="str">
        <f t="shared" si="94"/>
        <v>221</v>
      </c>
      <c r="D719" s="53"/>
      <c r="E719" s="54"/>
      <c r="F719" s="54"/>
      <c r="G719" s="54"/>
      <c r="H719" s="57"/>
      <c r="I719" s="57"/>
      <c r="R719" s="54"/>
      <c r="S719" s="54"/>
      <c r="T719" s="54"/>
      <c r="U719" s="54">
        <f t="shared" si="95"/>
        <v>0</v>
      </c>
      <c r="V719" s="54">
        <f t="shared" si="96"/>
        <v>0</v>
      </c>
      <c r="W719" s="54">
        <f t="shared" si="97"/>
        <v>0</v>
      </c>
    </row>
    <row r="720" spans="1:23" s="58" customFormat="1" hidden="1" x14ac:dyDescent="0.25">
      <c r="A720" s="52" t="str">
        <f t="shared" si="94"/>
        <v xml:space="preserve"> - транспортные расходы</v>
      </c>
      <c r="B720" s="52" t="str">
        <f t="shared" si="94"/>
        <v>244</v>
      </c>
      <c r="C720" s="52" t="str">
        <f t="shared" si="94"/>
        <v>222</v>
      </c>
      <c r="D720" s="53"/>
      <c r="E720" s="54"/>
      <c r="F720" s="54"/>
      <c r="G720" s="54"/>
      <c r="I720" s="57"/>
      <c r="R720" s="54"/>
      <c r="S720" s="54"/>
      <c r="T720" s="54"/>
      <c r="U720" s="54">
        <f t="shared" si="95"/>
        <v>0</v>
      </c>
      <c r="V720" s="54">
        <f t="shared" si="96"/>
        <v>0</v>
      </c>
      <c r="W720" s="54">
        <f t="shared" si="97"/>
        <v>0</v>
      </c>
    </row>
    <row r="721" spans="1:23" hidden="1" x14ac:dyDescent="0.25">
      <c r="A721" s="52" t="str">
        <f t="shared" si="94"/>
        <v xml:space="preserve"> - коммунальные расходы (без ЖБО)</v>
      </c>
      <c r="B721" s="52" t="str">
        <f t="shared" si="94"/>
        <v>244</v>
      </c>
      <c r="C721" s="52" t="str">
        <f t="shared" si="94"/>
        <v>223</v>
      </c>
      <c r="D721" s="53"/>
      <c r="E721" s="54"/>
      <c r="F721" s="54"/>
      <c r="G721" s="54"/>
      <c r="H721" s="56"/>
      <c r="I721" s="56"/>
      <c r="R721" s="54"/>
      <c r="S721" s="54"/>
      <c r="T721" s="54"/>
      <c r="U721" s="54">
        <f t="shared" si="95"/>
        <v>0</v>
      </c>
      <c r="V721" s="54">
        <f t="shared" si="96"/>
        <v>0</v>
      </c>
      <c r="W721" s="54">
        <f t="shared" si="97"/>
        <v>0</v>
      </c>
    </row>
    <row r="722" spans="1:23" hidden="1" x14ac:dyDescent="0.25">
      <c r="A722" s="52" t="str">
        <f t="shared" si="94"/>
        <v xml:space="preserve"> - коммунальные расходы (без ЖБО)</v>
      </c>
      <c r="B722" s="52" t="str">
        <f t="shared" si="94"/>
        <v>247</v>
      </c>
      <c r="C722" s="52" t="str">
        <f t="shared" si="94"/>
        <v>223</v>
      </c>
      <c r="D722" s="53"/>
      <c r="E722" s="54"/>
      <c r="F722" s="54"/>
      <c r="G722" s="54"/>
      <c r="H722" s="56"/>
      <c r="I722" s="56"/>
      <c r="R722" s="54"/>
      <c r="S722" s="54"/>
      <c r="T722" s="54"/>
      <c r="U722" s="54">
        <f t="shared" si="95"/>
        <v>0</v>
      </c>
      <c r="V722" s="54">
        <f t="shared" si="96"/>
        <v>0</v>
      </c>
      <c r="W722" s="54">
        <f t="shared" si="97"/>
        <v>0</v>
      </c>
    </row>
    <row r="723" spans="1:23" hidden="1" x14ac:dyDescent="0.25">
      <c r="A723" s="52" t="str">
        <f t="shared" si="94"/>
        <v xml:space="preserve">    - ЖБО </v>
      </c>
      <c r="B723" s="52" t="str">
        <f t="shared" si="94"/>
        <v>244</v>
      </c>
      <c r="C723" s="52" t="str">
        <f t="shared" si="94"/>
        <v>223</v>
      </c>
      <c r="D723" s="53"/>
      <c r="E723" s="54"/>
      <c r="F723" s="54"/>
      <c r="G723" s="54"/>
      <c r="H723" s="58"/>
      <c r="I723" s="57"/>
      <c r="R723" s="54"/>
      <c r="S723" s="54"/>
      <c r="T723" s="54"/>
      <c r="U723" s="54">
        <f t="shared" si="95"/>
        <v>0</v>
      </c>
      <c r="V723" s="54">
        <f t="shared" si="96"/>
        <v>0</v>
      </c>
      <c r="W723" s="54">
        <f t="shared" si="97"/>
        <v>0</v>
      </c>
    </row>
    <row r="724" spans="1:23" s="58" customFormat="1" hidden="1" x14ac:dyDescent="0.25">
      <c r="A724" s="52" t="str">
        <f t="shared" si="94"/>
        <v xml:space="preserve"> - арендная плата </v>
      </c>
      <c r="B724" s="52" t="str">
        <f t="shared" si="94"/>
        <v>244</v>
      </c>
      <c r="C724" s="52" t="str">
        <f t="shared" si="94"/>
        <v>224</v>
      </c>
      <c r="D724" s="53"/>
      <c r="E724" s="54"/>
      <c r="F724" s="54"/>
      <c r="G724" s="54"/>
      <c r="H724" s="57"/>
      <c r="I724" s="57"/>
      <c r="R724" s="54"/>
      <c r="S724" s="54"/>
      <c r="T724" s="54"/>
      <c r="U724" s="54">
        <f t="shared" si="95"/>
        <v>0</v>
      </c>
      <c r="V724" s="54">
        <f t="shared" si="96"/>
        <v>0</v>
      </c>
      <c r="W724" s="54">
        <f t="shared" si="97"/>
        <v>0</v>
      </c>
    </row>
    <row r="725" spans="1:23" s="45" customFormat="1" hidden="1" x14ac:dyDescent="0.25">
      <c r="A725" s="52" t="str">
        <f t="shared" si="94"/>
        <v xml:space="preserve"> - услуги по содержанию имущества, всего:</v>
      </c>
      <c r="B725" s="52" t="str">
        <f t="shared" si="94"/>
        <v>244</v>
      </c>
      <c r="C725" s="52" t="str">
        <f t="shared" si="94"/>
        <v>225</v>
      </c>
      <c r="D725" s="104"/>
      <c r="E725" s="62">
        <f>SUM(E726:E748)</f>
        <v>0</v>
      </c>
      <c r="F725" s="62">
        <f>SUM(F726:F748)</f>
        <v>0</v>
      </c>
      <c r="G725" s="62">
        <f>SUM(G726:G748)</f>
        <v>0</v>
      </c>
      <c r="H725" s="63"/>
      <c r="I725" s="63"/>
      <c r="R725" s="62"/>
      <c r="S725" s="62"/>
      <c r="T725" s="62"/>
      <c r="U725" s="62">
        <f t="shared" si="95"/>
        <v>0</v>
      </c>
      <c r="V725" s="62">
        <f t="shared" si="96"/>
        <v>0</v>
      </c>
      <c r="W725" s="62">
        <f t="shared" si="97"/>
        <v>0</v>
      </c>
    </row>
    <row r="726" spans="1:23" ht="41.4" hidden="1" x14ac:dyDescent="0.25">
      <c r="A726" s="52" t="str">
        <f t="shared" si="94"/>
        <v xml:space="preserve">   в том числе:
    - тек.ремонт (отопление, водопровод, электросетей)</v>
      </c>
      <c r="B726" s="52" t="str">
        <f t="shared" si="94"/>
        <v>244</v>
      </c>
      <c r="C726" s="52" t="str">
        <f t="shared" si="94"/>
        <v>225</v>
      </c>
      <c r="D726" s="53"/>
      <c r="E726" s="54"/>
      <c r="F726" s="54"/>
      <c r="G726" s="54"/>
      <c r="H726" s="56"/>
      <c r="I726" s="56"/>
      <c r="R726" s="54"/>
      <c r="S726" s="54"/>
      <c r="T726" s="54"/>
      <c r="U726" s="54">
        <f t="shared" si="95"/>
        <v>0</v>
      </c>
      <c r="V726" s="54">
        <f t="shared" si="96"/>
        <v>0</v>
      </c>
      <c r="W726" s="54">
        <f t="shared" si="97"/>
        <v>0</v>
      </c>
    </row>
    <row r="727" spans="1:23" s="66" customFormat="1" hidden="1" x14ac:dyDescent="0.25">
      <c r="A727" s="52" t="str">
        <f t="shared" si="94"/>
        <v xml:space="preserve">    - очистка кровли от снега</v>
      </c>
      <c r="B727" s="52" t="str">
        <f t="shared" si="94"/>
        <v>244</v>
      </c>
      <c r="C727" s="52" t="str">
        <f t="shared" si="94"/>
        <v>225</v>
      </c>
      <c r="D727" s="53"/>
      <c r="E727" s="54"/>
      <c r="F727" s="54"/>
      <c r="G727" s="54"/>
      <c r="I727" s="67"/>
      <c r="R727" s="54"/>
      <c r="S727" s="54"/>
      <c r="T727" s="54"/>
      <c r="U727" s="54">
        <f t="shared" si="95"/>
        <v>0</v>
      </c>
      <c r="V727" s="54">
        <f t="shared" si="96"/>
        <v>0</v>
      </c>
      <c r="W727" s="54">
        <f t="shared" si="97"/>
        <v>0</v>
      </c>
    </row>
    <row r="728" spans="1:23" ht="27.6" hidden="1" x14ac:dyDescent="0.25">
      <c r="A728" s="52" t="str">
        <f t="shared" si="94"/>
        <v xml:space="preserve">    - текущий ремонт кровли, крыльца, заделка швов, асфальтирование территории</v>
      </c>
      <c r="B728" s="52" t="str">
        <f t="shared" si="94"/>
        <v>244</v>
      </c>
      <c r="C728" s="52" t="str">
        <f t="shared" si="94"/>
        <v>225</v>
      </c>
      <c r="D728" s="53"/>
      <c r="E728" s="54"/>
      <c r="F728" s="54"/>
      <c r="G728" s="54"/>
      <c r="H728" s="56"/>
      <c r="I728" s="56"/>
      <c r="R728" s="54"/>
      <c r="S728" s="54"/>
      <c r="T728" s="54"/>
      <c r="U728" s="54">
        <f t="shared" si="95"/>
        <v>0</v>
      </c>
      <c r="V728" s="54">
        <f t="shared" si="96"/>
        <v>0</v>
      </c>
      <c r="W728" s="54">
        <f t="shared" si="97"/>
        <v>0</v>
      </c>
    </row>
    <row r="729" spans="1:23" hidden="1" x14ac:dyDescent="0.25">
      <c r="A729" s="52" t="str">
        <f t="shared" si="94"/>
        <v xml:space="preserve">    - аварийно-техническое обслуживание зданий</v>
      </c>
      <c r="B729" s="52" t="str">
        <f t="shared" si="94"/>
        <v>244</v>
      </c>
      <c r="C729" s="52" t="str">
        <f t="shared" si="94"/>
        <v>225</v>
      </c>
      <c r="D729" s="53"/>
      <c r="E729" s="54"/>
      <c r="F729" s="54"/>
      <c r="G729" s="54"/>
      <c r="H729" s="56"/>
      <c r="I729" s="56"/>
      <c r="R729" s="54"/>
      <c r="S729" s="54"/>
      <c r="T729" s="54"/>
      <c r="U729" s="54">
        <f t="shared" si="95"/>
        <v>0</v>
      </c>
      <c r="V729" s="54">
        <f t="shared" si="96"/>
        <v>0</v>
      </c>
      <c r="W729" s="54">
        <f t="shared" si="97"/>
        <v>0</v>
      </c>
    </row>
    <row r="730" spans="1:23" ht="27.6" hidden="1" x14ac:dyDescent="0.25">
      <c r="A730" s="52" t="str">
        <f t="shared" si="94"/>
        <v xml:space="preserve">    - содержание мест общего пользования (ПЖРЭТ), взносы на кап.ремонт</v>
      </c>
      <c r="B730" s="52" t="str">
        <f t="shared" si="94"/>
        <v>244</v>
      </c>
      <c r="C730" s="52" t="str">
        <f t="shared" si="94"/>
        <v>225</v>
      </c>
      <c r="D730" s="53"/>
      <c r="E730" s="54"/>
      <c r="F730" s="54"/>
      <c r="G730" s="54"/>
      <c r="I730" s="56"/>
      <c r="R730" s="54"/>
      <c r="S730" s="54"/>
      <c r="T730" s="54"/>
      <c r="U730" s="54">
        <f t="shared" si="95"/>
        <v>0</v>
      </c>
      <c r="V730" s="54">
        <f t="shared" si="96"/>
        <v>0</v>
      </c>
      <c r="W730" s="54">
        <f t="shared" si="97"/>
        <v>0</v>
      </c>
    </row>
    <row r="731" spans="1:23" hidden="1" x14ac:dyDescent="0.25">
      <c r="A731" s="52" t="str">
        <f t="shared" ref="A731:C750" si="98">A101</f>
        <v xml:space="preserve">    - наружное освещение</v>
      </c>
      <c r="B731" s="52" t="str">
        <f t="shared" si="98"/>
        <v>244</v>
      </c>
      <c r="C731" s="52" t="str">
        <f t="shared" si="98"/>
        <v>225</v>
      </c>
      <c r="D731" s="53"/>
      <c r="E731" s="54"/>
      <c r="F731" s="54"/>
      <c r="G731" s="54"/>
      <c r="I731" s="56"/>
      <c r="R731" s="54"/>
      <c r="S731" s="54"/>
      <c r="T731" s="54"/>
      <c r="U731" s="54">
        <f t="shared" si="95"/>
        <v>0</v>
      </c>
      <c r="V731" s="54">
        <f t="shared" si="96"/>
        <v>0</v>
      </c>
      <c r="W731" s="54">
        <f t="shared" si="97"/>
        <v>0</v>
      </c>
    </row>
    <row r="732" spans="1:23" hidden="1" x14ac:dyDescent="0.25">
      <c r="A732" s="52" t="str">
        <f t="shared" si="98"/>
        <v xml:space="preserve">    - то приборов коммерческого учета</v>
      </c>
      <c r="B732" s="52" t="str">
        <f t="shared" si="98"/>
        <v>244</v>
      </c>
      <c r="C732" s="52" t="str">
        <f t="shared" si="98"/>
        <v>225</v>
      </c>
      <c r="D732" s="53"/>
      <c r="E732" s="54"/>
      <c r="F732" s="54"/>
      <c r="G732" s="54"/>
      <c r="I732" s="56"/>
      <c r="R732" s="54"/>
      <c r="S732" s="54"/>
      <c r="T732" s="54"/>
      <c r="U732" s="54">
        <f t="shared" si="95"/>
        <v>0</v>
      </c>
      <c r="V732" s="54">
        <f t="shared" si="96"/>
        <v>0</v>
      </c>
      <c r="W732" s="54">
        <f t="shared" si="97"/>
        <v>0</v>
      </c>
    </row>
    <row r="733" spans="1:23" hidden="1" x14ac:dyDescent="0.25">
      <c r="A733" s="52" t="str">
        <f t="shared" si="98"/>
        <v xml:space="preserve">    - дезинфекция</v>
      </c>
      <c r="B733" s="52" t="str">
        <f t="shared" si="98"/>
        <v>244</v>
      </c>
      <c r="C733" s="52" t="str">
        <f t="shared" si="98"/>
        <v>225</v>
      </c>
      <c r="D733" s="53"/>
      <c r="E733" s="54"/>
      <c r="F733" s="54"/>
      <c r="G733" s="54"/>
      <c r="I733" s="56"/>
      <c r="R733" s="54"/>
      <c r="S733" s="54"/>
      <c r="T733" s="54"/>
      <c r="U733" s="54">
        <f t="shared" si="95"/>
        <v>0</v>
      </c>
      <c r="V733" s="54">
        <f t="shared" si="96"/>
        <v>0</v>
      </c>
      <c r="W733" s="54">
        <f t="shared" si="97"/>
        <v>0</v>
      </c>
    </row>
    <row r="734" spans="1:23" hidden="1" x14ac:dyDescent="0.25">
      <c r="A734" s="52" t="str">
        <f t="shared" si="98"/>
        <v xml:space="preserve">    - то видеонаблюдения</v>
      </c>
      <c r="B734" s="52" t="str">
        <f t="shared" si="98"/>
        <v>244</v>
      </c>
      <c r="C734" s="52" t="str">
        <f t="shared" si="98"/>
        <v>225</v>
      </c>
      <c r="D734" s="53"/>
      <c r="E734" s="54"/>
      <c r="F734" s="54"/>
      <c r="G734" s="54"/>
      <c r="I734" s="56"/>
      <c r="R734" s="54"/>
      <c r="S734" s="54"/>
      <c r="T734" s="54"/>
      <c r="U734" s="54">
        <f t="shared" si="95"/>
        <v>0</v>
      </c>
      <c r="V734" s="54">
        <f t="shared" si="96"/>
        <v>0</v>
      </c>
      <c r="W734" s="54">
        <f t="shared" si="97"/>
        <v>0</v>
      </c>
    </row>
    <row r="735" spans="1:23" hidden="1" x14ac:dyDescent="0.25">
      <c r="A735" s="52" t="str">
        <f t="shared" si="98"/>
        <v xml:space="preserve">    - то пожарно-охранной сигнализации</v>
      </c>
      <c r="B735" s="52" t="str">
        <f t="shared" si="98"/>
        <v>244</v>
      </c>
      <c r="C735" s="52" t="str">
        <f t="shared" si="98"/>
        <v>225</v>
      </c>
      <c r="D735" s="53"/>
      <c r="E735" s="54"/>
      <c r="F735" s="54"/>
      <c r="G735" s="54"/>
      <c r="I735" s="56"/>
      <c r="R735" s="54"/>
      <c r="S735" s="54"/>
      <c r="T735" s="54"/>
      <c r="U735" s="54">
        <f t="shared" si="95"/>
        <v>0</v>
      </c>
      <c r="V735" s="54">
        <f t="shared" si="96"/>
        <v>0</v>
      </c>
      <c r="W735" s="54">
        <f t="shared" si="97"/>
        <v>0</v>
      </c>
    </row>
    <row r="736" spans="1:23" hidden="1" x14ac:dyDescent="0.25">
      <c r="A736" s="52" t="str">
        <f t="shared" si="98"/>
        <v xml:space="preserve">    - монтаж (регулировка) дверей/окон</v>
      </c>
      <c r="B736" s="52" t="str">
        <f t="shared" si="98"/>
        <v>244</v>
      </c>
      <c r="C736" s="52" t="str">
        <f t="shared" si="98"/>
        <v>225</v>
      </c>
      <c r="D736" s="53"/>
      <c r="E736" s="54"/>
      <c r="F736" s="54"/>
      <c r="G736" s="54"/>
      <c r="I736" s="56"/>
      <c r="R736" s="54"/>
      <c r="S736" s="54"/>
      <c r="T736" s="54"/>
      <c r="U736" s="54">
        <f t="shared" si="95"/>
        <v>0</v>
      </c>
      <c r="V736" s="54">
        <f t="shared" si="96"/>
        <v>0</v>
      </c>
      <c r="W736" s="54">
        <f t="shared" si="97"/>
        <v>0</v>
      </c>
    </row>
    <row r="737" spans="1:23" hidden="1" x14ac:dyDescent="0.25">
      <c r="A737" s="52" t="str">
        <f t="shared" si="98"/>
        <v xml:space="preserve">    - заправка картриджей</v>
      </c>
      <c r="B737" s="52" t="str">
        <f t="shared" si="98"/>
        <v>244</v>
      </c>
      <c r="C737" s="52" t="str">
        <f t="shared" si="98"/>
        <v>225</v>
      </c>
      <c r="D737" s="53"/>
      <c r="E737" s="54"/>
      <c r="F737" s="54"/>
      <c r="G737" s="54"/>
      <c r="I737" s="56"/>
      <c r="R737" s="54"/>
      <c r="S737" s="54"/>
      <c r="T737" s="54"/>
      <c r="U737" s="54">
        <f t="shared" si="95"/>
        <v>0</v>
      </c>
      <c r="V737" s="54">
        <f t="shared" si="96"/>
        <v>0</v>
      </c>
      <c r="W737" s="54">
        <f t="shared" si="97"/>
        <v>0</v>
      </c>
    </row>
    <row r="738" spans="1:23" ht="30" hidden="1" customHeight="1" x14ac:dyDescent="0.25">
      <c r="A738" s="52" t="str">
        <f t="shared" si="98"/>
        <v xml:space="preserve">    - обслуживание кнопки тревожной сигнализации</v>
      </c>
      <c r="B738" s="52" t="str">
        <f t="shared" si="98"/>
        <v>244</v>
      </c>
      <c r="C738" s="52" t="str">
        <f t="shared" si="98"/>
        <v>225</v>
      </c>
      <c r="D738" s="53"/>
      <c r="E738" s="54"/>
      <c r="F738" s="54"/>
      <c r="G738" s="54"/>
      <c r="I738" s="56"/>
      <c r="R738" s="54"/>
      <c r="S738" s="54"/>
      <c r="T738" s="54"/>
      <c r="U738" s="54">
        <f t="shared" si="95"/>
        <v>0</v>
      </c>
      <c r="V738" s="54">
        <f t="shared" si="96"/>
        <v>0</v>
      </c>
      <c r="W738" s="54">
        <f t="shared" si="97"/>
        <v>0</v>
      </c>
    </row>
    <row r="739" spans="1:23" ht="15" hidden="1" customHeight="1" x14ac:dyDescent="0.25">
      <c r="A739" s="52" t="str">
        <f t="shared" si="98"/>
        <v xml:space="preserve">    - то компьютерного оборудования</v>
      </c>
      <c r="B739" s="52" t="str">
        <f t="shared" si="98"/>
        <v>244</v>
      </c>
      <c r="C739" s="52" t="str">
        <f t="shared" si="98"/>
        <v>225</v>
      </c>
      <c r="D739" s="53"/>
      <c r="E739" s="54"/>
      <c r="F739" s="54"/>
      <c r="G739" s="54"/>
      <c r="I739" s="56"/>
      <c r="R739" s="54"/>
      <c r="S739" s="54"/>
      <c r="T739" s="54"/>
      <c r="U739" s="54">
        <f t="shared" si="95"/>
        <v>0</v>
      </c>
      <c r="V739" s="54">
        <f t="shared" si="96"/>
        <v>0</v>
      </c>
      <c r="W739" s="54">
        <f t="shared" si="97"/>
        <v>0</v>
      </c>
    </row>
    <row r="740" spans="1:23" ht="15" hidden="1" customHeight="1" x14ac:dyDescent="0.25">
      <c r="A740" s="52" t="str">
        <f t="shared" si="98"/>
        <v xml:space="preserve">    - Химчистка</v>
      </c>
      <c r="B740" s="52" t="str">
        <f t="shared" si="98"/>
        <v>244</v>
      </c>
      <c r="C740" s="52" t="str">
        <f t="shared" si="98"/>
        <v>225</v>
      </c>
      <c r="D740" s="53"/>
      <c r="E740" s="54"/>
      <c r="F740" s="54"/>
      <c r="G740" s="54"/>
      <c r="I740" s="56"/>
      <c r="R740" s="54"/>
      <c r="S740" s="54"/>
      <c r="T740" s="54"/>
      <c r="U740" s="54">
        <f t="shared" si="95"/>
        <v>0</v>
      </c>
      <c r="V740" s="54">
        <f t="shared" si="96"/>
        <v>0</v>
      </c>
      <c r="W740" s="54">
        <f t="shared" si="97"/>
        <v>0</v>
      </c>
    </row>
    <row r="741" spans="1:23" hidden="1" x14ac:dyDescent="0.25">
      <c r="A741" s="52" t="str">
        <f t="shared" si="98"/>
        <v xml:space="preserve">    - поверка средств имерения</v>
      </c>
      <c r="B741" s="52" t="str">
        <f t="shared" si="98"/>
        <v>244</v>
      </c>
      <c r="C741" s="52" t="str">
        <f t="shared" si="98"/>
        <v>225</v>
      </c>
      <c r="D741" s="53"/>
      <c r="E741" s="54"/>
      <c r="F741" s="54"/>
      <c r="G741" s="54"/>
      <c r="I741" s="56"/>
      <c r="R741" s="54"/>
      <c r="S741" s="54"/>
      <c r="T741" s="54"/>
      <c r="U741" s="54">
        <f t="shared" si="95"/>
        <v>0</v>
      </c>
      <c r="V741" s="54">
        <f t="shared" si="96"/>
        <v>0</v>
      </c>
      <c r="W741" s="54">
        <f t="shared" si="97"/>
        <v>0</v>
      </c>
    </row>
    <row r="742" spans="1:23" hidden="1" x14ac:dyDescent="0.25">
      <c r="A742" s="52" t="str">
        <f t="shared" si="98"/>
        <v xml:space="preserve">    - вывоз ТКО</v>
      </c>
      <c r="B742" s="52" t="str">
        <f t="shared" si="98"/>
        <v>244</v>
      </c>
      <c r="C742" s="52" t="str">
        <f t="shared" si="98"/>
        <v>225</v>
      </c>
      <c r="D742" s="53"/>
      <c r="E742" s="54"/>
      <c r="F742" s="54"/>
      <c r="G742" s="54"/>
      <c r="I742" s="56"/>
      <c r="R742" s="54"/>
      <c r="S742" s="54"/>
      <c r="T742" s="54"/>
      <c r="U742" s="54">
        <f t="shared" si="95"/>
        <v>0</v>
      </c>
      <c r="V742" s="54">
        <f t="shared" si="96"/>
        <v>0</v>
      </c>
      <c r="W742" s="54">
        <f t="shared" si="97"/>
        <v>0</v>
      </c>
    </row>
    <row r="743" spans="1:23" ht="15" hidden="1" customHeight="1" x14ac:dyDescent="0.25">
      <c r="A743" s="52" t="str">
        <f t="shared" si="98"/>
        <v xml:space="preserve">    - текущий ремонт оборудования</v>
      </c>
      <c r="B743" s="52" t="str">
        <f t="shared" si="98"/>
        <v>244</v>
      </c>
      <c r="C743" s="52" t="str">
        <f t="shared" si="98"/>
        <v>225</v>
      </c>
      <c r="D743" s="53"/>
      <c r="E743" s="54"/>
      <c r="F743" s="54"/>
      <c r="G743" s="54"/>
      <c r="I743" s="56"/>
      <c r="R743" s="54"/>
      <c r="S743" s="54"/>
      <c r="T743" s="54"/>
      <c r="U743" s="54">
        <f t="shared" si="95"/>
        <v>0</v>
      </c>
      <c r="V743" s="54">
        <f t="shared" si="96"/>
        <v>0</v>
      </c>
      <c r="W743" s="54">
        <f t="shared" si="97"/>
        <v>0</v>
      </c>
    </row>
    <row r="744" spans="1:23" ht="15" hidden="1" customHeight="1" x14ac:dyDescent="0.25">
      <c r="A744" s="52" t="str">
        <f t="shared" si="98"/>
        <v xml:space="preserve">    - испытание диэлектрических средств защиты</v>
      </c>
      <c r="B744" s="52" t="str">
        <f t="shared" si="98"/>
        <v>244</v>
      </c>
      <c r="C744" s="52" t="str">
        <f t="shared" si="98"/>
        <v>225</v>
      </c>
      <c r="D744" s="53"/>
      <c r="E744" s="54"/>
      <c r="F744" s="54"/>
      <c r="G744" s="54"/>
      <c r="I744" s="56"/>
      <c r="R744" s="54"/>
      <c r="S744" s="54"/>
      <c r="T744" s="54"/>
      <c r="U744" s="54">
        <f t="shared" si="95"/>
        <v>0</v>
      </c>
      <c r="V744" s="54">
        <f t="shared" si="96"/>
        <v>0</v>
      </c>
      <c r="W744" s="54">
        <f t="shared" si="97"/>
        <v>0</v>
      </c>
    </row>
    <row r="745" spans="1:23" ht="15" hidden="1" customHeight="1" x14ac:dyDescent="0.25">
      <c r="A745" s="52" t="str">
        <f t="shared" si="98"/>
        <v xml:space="preserve">    - гидравлические испытания пожарных рукавов</v>
      </c>
      <c r="B745" s="52" t="str">
        <f t="shared" si="98"/>
        <v>244</v>
      </c>
      <c r="C745" s="52" t="str">
        <f t="shared" si="98"/>
        <v>225</v>
      </c>
      <c r="D745" s="53"/>
      <c r="E745" s="54"/>
      <c r="F745" s="54"/>
      <c r="G745" s="54"/>
      <c r="I745" s="56"/>
      <c r="R745" s="54"/>
      <c r="S745" s="54"/>
      <c r="T745" s="54"/>
      <c r="U745" s="54">
        <f t="shared" si="95"/>
        <v>0</v>
      </c>
      <c r="V745" s="54">
        <f t="shared" si="96"/>
        <v>0</v>
      </c>
      <c r="W745" s="54">
        <f t="shared" si="97"/>
        <v>0</v>
      </c>
    </row>
    <row r="746" spans="1:23" ht="15" hidden="1" customHeight="1" x14ac:dyDescent="0.25">
      <c r="A746" s="52" t="str">
        <f t="shared" si="98"/>
        <v xml:space="preserve">    - монтаж уличного освещения</v>
      </c>
      <c r="B746" s="52" t="str">
        <f t="shared" si="98"/>
        <v>244</v>
      </c>
      <c r="C746" s="52" t="str">
        <f t="shared" si="98"/>
        <v>225</v>
      </c>
      <c r="D746" s="53"/>
      <c r="E746" s="54"/>
      <c r="F746" s="54"/>
      <c r="G746" s="54"/>
      <c r="I746" s="56"/>
      <c r="R746" s="54"/>
      <c r="S746" s="54"/>
      <c r="T746" s="54"/>
      <c r="U746" s="54">
        <f t="shared" si="95"/>
        <v>0</v>
      </c>
      <c r="V746" s="54">
        <f t="shared" si="96"/>
        <v>0</v>
      </c>
      <c r="W746" s="54">
        <f t="shared" si="97"/>
        <v>0</v>
      </c>
    </row>
    <row r="747" spans="1:23" ht="15" hidden="1" customHeight="1" x14ac:dyDescent="0.25">
      <c r="A747" s="52" t="str">
        <f t="shared" si="98"/>
        <v xml:space="preserve">    - противоклещевая обработка</v>
      </c>
      <c r="B747" s="52" t="str">
        <f t="shared" si="98"/>
        <v>244</v>
      </c>
      <c r="C747" s="52" t="str">
        <f t="shared" si="98"/>
        <v>225</v>
      </c>
      <c r="D747" s="53"/>
      <c r="E747" s="54"/>
      <c r="F747" s="54"/>
      <c r="G747" s="54"/>
      <c r="I747" s="56"/>
      <c r="R747" s="54"/>
      <c r="S747" s="54"/>
      <c r="T747" s="54"/>
      <c r="U747" s="54">
        <f t="shared" si="95"/>
        <v>0</v>
      </c>
      <c r="V747" s="54">
        <f t="shared" si="96"/>
        <v>0</v>
      </c>
      <c r="W747" s="54">
        <f t="shared" si="97"/>
        <v>0</v>
      </c>
    </row>
    <row r="748" spans="1:23" hidden="1" x14ac:dyDescent="0.25">
      <c r="A748" s="52" t="str">
        <f t="shared" si="98"/>
        <v xml:space="preserve">    - сервисное обслуживание приборов тепла</v>
      </c>
      <c r="B748" s="52" t="str">
        <f t="shared" si="98"/>
        <v>244</v>
      </c>
      <c r="C748" s="52" t="str">
        <f t="shared" si="98"/>
        <v>225</v>
      </c>
      <c r="D748" s="53"/>
      <c r="E748" s="54"/>
      <c r="F748" s="54"/>
      <c r="G748" s="54"/>
      <c r="I748" s="56"/>
      <c r="R748" s="54"/>
      <c r="S748" s="54"/>
      <c r="T748" s="54"/>
      <c r="U748" s="54">
        <f t="shared" ref="U748:U772" si="99">E748-R748</f>
        <v>0</v>
      </c>
      <c r="V748" s="54">
        <f t="shared" ref="V748:V772" si="100">F748-S748</f>
        <v>0</v>
      </c>
      <c r="W748" s="54">
        <f t="shared" ref="W748:W772" si="101">G748-T748</f>
        <v>0</v>
      </c>
    </row>
    <row r="749" spans="1:23" s="45" customFormat="1" hidden="1" x14ac:dyDescent="0.25">
      <c r="A749" s="52" t="str">
        <f t="shared" si="98"/>
        <v xml:space="preserve"> - прочие работы, услуги, всего:</v>
      </c>
      <c r="B749" s="52" t="str">
        <f t="shared" si="98"/>
        <v>244</v>
      </c>
      <c r="C749" s="52" t="str">
        <f t="shared" si="98"/>
        <v>226</v>
      </c>
      <c r="D749" s="104"/>
      <c r="E749" s="62">
        <f>SUM(E750:E765)</f>
        <v>0</v>
      </c>
      <c r="F749" s="62">
        <f>SUM(F750:F765)</f>
        <v>0</v>
      </c>
      <c r="G749" s="62">
        <f>SUM(G750:G765)</f>
        <v>0</v>
      </c>
      <c r="H749" s="63"/>
      <c r="I749" s="63"/>
      <c r="R749" s="62"/>
      <c r="S749" s="62"/>
      <c r="T749" s="62"/>
      <c r="U749" s="62">
        <f t="shared" si="99"/>
        <v>0</v>
      </c>
      <c r="V749" s="62">
        <f t="shared" si="100"/>
        <v>0</v>
      </c>
      <c r="W749" s="62">
        <f t="shared" si="101"/>
        <v>0</v>
      </c>
    </row>
    <row r="750" spans="1:23" s="58" customFormat="1" hidden="1" x14ac:dyDescent="0.25">
      <c r="A750" s="52" t="str">
        <f t="shared" si="98"/>
        <v xml:space="preserve">    - специальная оценка условий труда</v>
      </c>
      <c r="B750" s="52" t="str">
        <f t="shared" si="98"/>
        <v>244</v>
      </c>
      <c r="C750" s="52" t="str">
        <f t="shared" si="98"/>
        <v>226</v>
      </c>
      <c r="D750" s="53"/>
      <c r="E750" s="54"/>
      <c r="F750" s="54"/>
      <c r="G750" s="54"/>
      <c r="H750" s="49"/>
      <c r="I750" s="56"/>
      <c r="R750" s="54"/>
      <c r="S750" s="54"/>
      <c r="T750" s="54"/>
      <c r="U750" s="54">
        <f t="shared" si="99"/>
        <v>0</v>
      </c>
      <c r="V750" s="54">
        <f t="shared" si="100"/>
        <v>0</v>
      </c>
      <c r="W750" s="54">
        <f t="shared" si="101"/>
        <v>0</v>
      </c>
    </row>
    <row r="751" spans="1:23" s="58" customFormat="1" ht="27.6" hidden="1" x14ac:dyDescent="0.25">
      <c r="A751" s="52" t="str">
        <f t="shared" ref="A751:C770" si="102">A121</f>
        <v xml:space="preserve">    - услуги автотранспорта (доставка строительных материалов, вывоз веток и пр.)</v>
      </c>
      <c r="B751" s="52" t="str">
        <f t="shared" si="102"/>
        <v>244</v>
      </c>
      <c r="C751" s="52" t="str">
        <f t="shared" si="102"/>
        <v>226</v>
      </c>
      <c r="D751" s="53"/>
      <c r="E751" s="54"/>
      <c r="F751" s="54"/>
      <c r="G751" s="54"/>
      <c r="H751" s="49"/>
      <c r="I751" s="56"/>
      <c r="R751" s="54"/>
      <c r="S751" s="54"/>
      <c r="T751" s="54"/>
      <c r="U751" s="54">
        <f t="shared" si="99"/>
        <v>0</v>
      </c>
      <c r="V751" s="54">
        <f t="shared" si="100"/>
        <v>0</v>
      </c>
      <c r="W751" s="54">
        <f t="shared" si="101"/>
        <v>0</v>
      </c>
    </row>
    <row r="752" spans="1:23" s="58" customFormat="1" hidden="1" x14ac:dyDescent="0.25">
      <c r="A752" s="52" t="str">
        <f t="shared" si="102"/>
        <v xml:space="preserve">    - ПО (СБИС)</v>
      </c>
      <c r="B752" s="52" t="str">
        <f t="shared" si="102"/>
        <v>244</v>
      </c>
      <c r="C752" s="52" t="str">
        <f t="shared" si="102"/>
        <v>226</v>
      </c>
      <c r="D752" s="53"/>
      <c r="E752" s="54"/>
      <c r="F752" s="54"/>
      <c r="G752" s="54"/>
      <c r="H752" s="49"/>
      <c r="I752" s="56"/>
      <c r="R752" s="54"/>
      <c r="S752" s="54"/>
      <c r="T752" s="54"/>
      <c r="U752" s="54">
        <f t="shared" si="99"/>
        <v>0</v>
      </c>
      <c r="V752" s="54">
        <f t="shared" si="100"/>
        <v>0</v>
      </c>
      <c r="W752" s="54">
        <f t="shared" si="101"/>
        <v>0</v>
      </c>
    </row>
    <row r="753" spans="1:23" s="58" customFormat="1" hidden="1" x14ac:dyDescent="0.25">
      <c r="A753" s="52" t="str">
        <f t="shared" si="102"/>
        <v xml:space="preserve">    - организация питания</v>
      </c>
      <c r="B753" s="52" t="str">
        <f t="shared" si="102"/>
        <v>244</v>
      </c>
      <c r="C753" s="52" t="str">
        <f t="shared" si="102"/>
        <v>226</v>
      </c>
      <c r="D753" s="53"/>
      <c r="E753" s="54"/>
      <c r="F753" s="54"/>
      <c r="G753" s="54"/>
      <c r="H753" s="49"/>
      <c r="I753" s="56"/>
      <c r="R753" s="54"/>
      <c r="S753" s="54"/>
      <c r="T753" s="54"/>
      <c r="U753" s="54">
        <f t="shared" si="99"/>
        <v>0</v>
      </c>
      <c r="V753" s="54">
        <f t="shared" si="100"/>
        <v>0</v>
      </c>
      <c r="W753" s="54">
        <f t="shared" si="101"/>
        <v>0</v>
      </c>
    </row>
    <row r="754" spans="1:23" s="58" customFormat="1" ht="27.6" hidden="1" x14ac:dyDescent="0.25">
      <c r="A754" s="52" t="str">
        <f t="shared" si="102"/>
        <v xml:space="preserve">    - расчет проектно-сметной документации (ремонт крыльца, речевое оповещение)</v>
      </c>
      <c r="B754" s="52" t="str">
        <f t="shared" si="102"/>
        <v>244</v>
      </c>
      <c r="C754" s="52" t="str">
        <f t="shared" si="102"/>
        <v>226</v>
      </c>
      <c r="D754" s="53"/>
      <c r="E754" s="54"/>
      <c r="F754" s="54"/>
      <c r="G754" s="54"/>
      <c r="H754" s="49"/>
      <c r="I754" s="56"/>
      <c r="R754" s="54"/>
      <c r="S754" s="54"/>
      <c r="T754" s="54"/>
      <c r="U754" s="54">
        <f t="shared" si="99"/>
        <v>0</v>
      </c>
      <c r="V754" s="54">
        <f t="shared" si="100"/>
        <v>0</v>
      </c>
      <c r="W754" s="54">
        <f t="shared" si="101"/>
        <v>0</v>
      </c>
    </row>
    <row r="755" spans="1:23" s="58" customFormat="1" hidden="1" x14ac:dyDescent="0.25">
      <c r="A755" s="52" t="str">
        <f t="shared" si="102"/>
        <v xml:space="preserve">    - оплата услуг бухгалтерии</v>
      </c>
      <c r="B755" s="52" t="str">
        <f t="shared" si="102"/>
        <v>244</v>
      </c>
      <c r="C755" s="52" t="str">
        <f t="shared" si="102"/>
        <v>226</v>
      </c>
      <c r="D755" s="53"/>
      <c r="E755" s="54"/>
      <c r="F755" s="54"/>
      <c r="G755" s="54"/>
      <c r="H755" s="49"/>
      <c r="I755" s="56"/>
      <c r="R755" s="54"/>
      <c r="S755" s="54"/>
      <c r="T755" s="54"/>
      <c r="U755" s="54">
        <f t="shared" si="99"/>
        <v>0</v>
      </c>
      <c r="V755" s="54">
        <f t="shared" si="100"/>
        <v>0</v>
      </c>
      <c r="W755" s="54">
        <f t="shared" si="101"/>
        <v>0</v>
      </c>
    </row>
    <row r="756" spans="1:23" s="58" customFormat="1" hidden="1" x14ac:dyDescent="0.25">
      <c r="A756" s="52" t="str">
        <f t="shared" si="102"/>
        <v xml:space="preserve">    - услуги банка</v>
      </c>
      <c r="B756" s="52" t="str">
        <f t="shared" si="102"/>
        <v>244</v>
      </c>
      <c r="C756" s="52" t="str">
        <f t="shared" si="102"/>
        <v>226</v>
      </c>
      <c r="D756" s="53"/>
      <c r="E756" s="54"/>
      <c r="F756" s="54"/>
      <c r="G756" s="54"/>
      <c r="H756" s="49"/>
      <c r="I756" s="56"/>
      <c r="R756" s="54"/>
      <c r="S756" s="54"/>
      <c r="T756" s="54"/>
      <c r="U756" s="54">
        <f t="shared" si="99"/>
        <v>0</v>
      </c>
      <c r="V756" s="54">
        <f t="shared" si="100"/>
        <v>0</v>
      </c>
      <c r="W756" s="54">
        <f t="shared" si="101"/>
        <v>0</v>
      </c>
    </row>
    <row r="757" spans="1:23" s="58" customFormat="1" hidden="1" x14ac:dyDescent="0.25">
      <c r="A757" s="52" t="str">
        <f t="shared" si="102"/>
        <v xml:space="preserve">    - обслуживание компьютерных программ</v>
      </c>
      <c r="B757" s="52" t="str">
        <f t="shared" si="102"/>
        <v>244</v>
      </c>
      <c r="C757" s="52" t="str">
        <f t="shared" si="102"/>
        <v>226</v>
      </c>
      <c r="D757" s="53"/>
      <c r="E757" s="54"/>
      <c r="F757" s="54"/>
      <c r="G757" s="54"/>
      <c r="H757" s="49"/>
      <c r="I757" s="56"/>
      <c r="R757" s="54"/>
      <c r="S757" s="54"/>
      <c r="T757" s="54"/>
      <c r="U757" s="54">
        <f t="shared" si="99"/>
        <v>0</v>
      </c>
      <c r="V757" s="54">
        <f t="shared" si="100"/>
        <v>0</v>
      </c>
      <c r="W757" s="54">
        <f t="shared" si="101"/>
        <v>0</v>
      </c>
    </row>
    <row r="758" spans="1:23" hidden="1" x14ac:dyDescent="0.25">
      <c r="A758" s="52" t="str">
        <f t="shared" si="102"/>
        <v xml:space="preserve">    - установка сигнализации</v>
      </c>
      <c r="B758" s="52" t="str">
        <f t="shared" si="102"/>
        <v>244</v>
      </c>
      <c r="C758" s="52" t="str">
        <f t="shared" si="102"/>
        <v>226</v>
      </c>
      <c r="D758" s="53"/>
      <c r="E758" s="54"/>
      <c r="F758" s="54"/>
      <c r="G758" s="54"/>
      <c r="I758" s="56"/>
      <c r="R758" s="54"/>
      <c r="S758" s="54"/>
      <c r="T758" s="54"/>
      <c r="U758" s="54">
        <f t="shared" si="99"/>
        <v>0</v>
      </c>
      <c r="V758" s="54">
        <f t="shared" si="100"/>
        <v>0</v>
      </c>
      <c r="W758" s="54">
        <f t="shared" si="101"/>
        <v>0</v>
      </c>
    </row>
    <row r="759" spans="1:23" hidden="1" x14ac:dyDescent="0.25">
      <c r="A759" s="52" t="str">
        <f t="shared" si="102"/>
        <v xml:space="preserve">    - оказание консалтинговых услуг</v>
      </c>
      <c r="B759" s="52" t="str">
        <f t="shared" si="102"/>
        <v>244</v>
      </c>
      <c r="C759" s="52" t="str">
        <f t="shared" si="102"/>
        <v>226</v>
      </c>
      <c r="D759" s="53"/>
      <c r="E759" s="54"/>
      <c r="F759" s="54"/>
      <c r="G759" s="54"/>
      <c r="I759" s="56"/>
      <c r="R759" s="54"/>
      <c r="S759" s="54"/>
      <c r="T759" s="54"/>
      <c r="U759" s="54">
        <f t="shared" si="99"/>
        <v>0</v>
      </c>
      <c r="V759" s="54">
        <f t="shared" si="100"/>
        <v>0</v>
      </c>
      <c r="W759" s="54">
        <f t="shared" si="101"/>
        <v>0</v>
      </c>
    </row>
    <row r="760" spans="1:23" ht="27.6" hidden="1" x14ac:dyDescent="0.25">
      <c r="A760" s="52" t="str">
        <f t="shared" si="102"/>
        <v xml:space="preserve">    - монтаж решетчатой металлической двери в тепловом узле</v>
      </c>
      <c r="B760" s="52" t="str">
        <f t="shared" si="102"/>
        <v>244</v>
      </c>
      <c r="C760" s="52" t="str">
        <f t="shared" si="102"/>
        <v>226</v>
      </c>
      <c r="D760" s="53"/>
      <c r="E760" s="54"/>
      <c r="F760" s="54"/>
      <c r="G760" s="54"/>
      <c r="I760" s="56"/>
      <c r="R760" s="54"/>
      <c r="S760" s="54"/>
      <c r="T760" s="54"/>
      <c r="U760" s="54">
        <f t="shared" si="99"/>
        <v>0</v>
      </c>
      <c r="V760" s="54">
        <f t="shared" si="100"/>
        <v>0</v>
      </c>
      <c r="W760" s="54">
        <f t="shared" si="101"/>
        <v>0</v>
      </c>
    </row>
    <row r="761" spans="1:23" hidden="1" x14ac:dyDescent="0.25">
      <c r="A761" s="52" t="str">
        <f t="shared" si="102"/>
        <v xml:space="preserve">    - мониторинг охранно-пожарной сигнализации</v>
      </c>
      <c r="B761" s="52" t="str">
        <f t="shared" si="102"/>
        <v>244</v>
      </c>
      <c r="C761" s="52" t="str">
        <f t="shared" si="102"/>
        <v>226</v>
      </c>
      <c r="D761" s="53"/>
      <c r="E761" s="54"/>
      <c r="F761" s="54"/>
      <c r="G761" s="54"/>
      <c r="I761" s="56"/>
      <c r="R761" s="54"/>
      <c r="S761" s="54"/>
      <c r="T761" s="54"/>
      <c r="U761" s="54">
        <f t="shared" si="99"/>
        <v>0</v>
      </c>
      <c r="V761" s="54">
        <f t="shared" si="100"/>
        <v>0</v>
      </c>
      <c r="W761" s="54">
        <f t="shared" si="101"/>
        <v>0</v>
      </c>
    </row>
    <row r="762" spans="1:23" hidden="1" x14ac:dyDescent="0.25">
      <c r="A762" s="52" t="str">
        <f t="shared" si="102"/>
        <v xml:space="preserve">    - переплет документов</v>
      </c>
      <c r="B762" s="52" t="str">
        <f t="shared" si="102"/>
        <v>244</v>
      </c>
      <c r="C762" s="52" t="str">
        <f t="shared" si="102"/>
        <v>226</v>
      </c>
      <c r="D762" s="53"/>
      <c r="E762" s="54"/>
      <c r="F762" s="54"/>
      <c r="G762" s="54"/>
      <c r="I762" s="56"/>
      <c r="R762" s="54"/>
      <c r="S762" s="54"/>
      <c r="T762" s="54"/>
      <c r="U762" s="54">
        <f t="shared" si="99"/>
        <v>0</v>
      </c>
      <c r="V762" s="54">
        <f t="shared" si="100"/>
        <v>0</v>
      </c>
      <c r="W762" s="54">
        <f t="shared" si="101"/>
        <v>0</v>
      </c>
    </row>
    <row r="763" spans="1:23" hidden="1" x14ac:dyDescent="0.25">
      <c r="A763" s="52" t="str">
        <f t="shared" si="102"/>
        <v xml:space="preserve">    - вневедомственная охрана</v>
      </c>
      <c r="B763" s="52" t="str">
        <f t="shared" si="102"/>
        <v>244</v>
      </c>
      <c r="C763" s="52" t="str">
        <f t="shared" si="102"/>
        <v>226</v>
      </c>
      <c r="D763" s="53"/>
      <c r="E763" s="54"/>
      <c r="F763" s="54"/>
      <c r="G763" s="54"/>
      <c r="I763" s="56"/>
      <c r="R763" s="54"/>
      <c r="S763" s="54"/>
      <c r="T763" s="54"/>
      <c r="U763" s="54">
        <f t="shared" si="99"/>
        <v>0</v>
      </c>
      <c r="V763" s="54">
        <f t="shared" si="100"/>
        <v>0</v>
      </c>
      <c r="W763" s="54">
        <f t="shared" si="101"/>
        <v>0</v>
      </c>
    </row>
    <row r="764" spans="1:23" hidden="1" x14ac:dyDescent="0.25">
      <c r="A764" s="52" t="str">
        <f t="shared" si="102"/>
        <v xml:space="preserve">    - лицензированная охрана</v>
      </c>
      <c r="B764" s="52" t="str">
        <f t="shared" si="102"/>
        <v>244</v>
      </c>
      <c r="C764" s="52" t="str">
        <f t="shared" si="102"/>
        <v>226</v>
      </c>
      <c r="D764" s="53"/>
      <c r="E764" s="54"/>
      <c r="F764" s="54"/>
      <c r="G764" s="54"/>
      <c r="I764" s="56"/>
      <c r="R764" s="54"/>
      <c r="S764" s="54"/>
      <c r="T764" s="54"/>
      <c r="U764" s="54">
        <f t="shared" si="99"/>
        <v>0</v>
      </c>
      <c r="V764" s="54">
        <f t="shared" si="100"/>
        <v>0</v>
      </c>
      <c r="W764" s="54">
        <f t="shared" si="101"/>
        <v>0</v>
      </c>
    </row>
    <row r="765" spans="1:23" hidden="1" x14ac:dyDescent="0.25">
      <c r="A765" s="52" t="str">
        <f t="shared" si="102"/>
        <v xml:space="preserve">    - курсы повышения квалификации</v>
      </c>
      <c r="B765" s="52" t="str">
        <f t="shared" si="102"/>
        <v>244</v>
      </c>
      <c r="C765" s="52" t="str">
        <f t="shared" si="102"/>
        <v>226</v>
      </c>
      <c r="D765" s="53"/>
      <c r="E765" s="54"/>
      <c r="F765" s="54"/>
      <c r="G765" s="54"/>
      <c r="I765" s="56"/>
      <c r="R765" s="54"/>
      <c r="S765" s="54"/>
      <c r="T765" s="54"/>
      <c r="U765" s="54">
        <f t="shared" si="99"/>
        <v>0</v>
      </c>
      <c r="V765" s="54">
        <f t="shared" si="100"/>
        <v>0</v>
      </c>
      <c r="W765" s="54">
        <f t="shared" si="101"/>
        <v>0</v>
      </c>
    </row>
    <row r="766" spans="1:23" hidden="1" x14ac:dyDescent="0.25">
      <c r="A766" s="52" t="str">
        <f t="shared" si="102"/>
        <v xml:space="preserve">    - монтаж охранно-пожарной сигнализации</v>
      </c>
      <c r="B766" s="52" t="str">
        <f t="shared" si="102"/>
        <v>244</v>
      </c>
      <c r="C766" s="52" t="str">
        <f t="shared" si="102"/>
        <v>228</v>
      </c>
      <c r="D766" s="53"/>
      <c r="E766" s="54"/>
      <c r="F766" s="54"/>
      <c r="G766" s="54"/>
      <c r="I766" s="56"/>
      <c r="R766" s="54"/>
      <c r="S766" s="54"/>
      <c r="T766" s="54"/>
      <c r="U766" s="54">
        <f t="shared" si="99"/>
        <v>0</v>
      </c>
      <c r="V766" s="54">
        <f t="shared" si="100"/>
        <v>0</v>
      </c>
      <c r="W766" s="54">
        <f t="shared" si="101"/>
        <v>0</v>
      </c>
    </row>
    <row r="767" spans="1:23" ht="27.6" hidden="1" x14ac:dyDescent="0.25">
      <c r="A767" s="52" t="str">
        <f t="shared" si="102"/>
        <v xml:space="preserve"> - выплаты ув.сотрудникам и их родственникам (3 дн.б/л, МП)</v>
      </c>
      <c r="B767" s="52" t="str">
        <f t="shared" si="102"/>
        <v>321</v>
      </c>
      <c r="C767" s="52" t="str">
        <f t="shared" si="102"/>
        <v>264</v>
      </c>
      <c r="D767" s="60" t="s">
        <v>37</v>
      </c>
      <c r="E767" s="54"/>
      <c r="F767" s="54"/>
      <c r="G767" s="54"/>
      <c r="I767" s="56"/>
      <c r="R767" s="54"/>
      <c r="S767" s="54"/>
      <c r="T767" s="54"/>
      <c r="U767" s="54">
        <f t="shared" si="99"/>
        <v>0</v>
      </c>
      <c r="V767" s="54">
        <f t="shared" si="100"/>
        <v>0</v>
      </c>
      <c r="W767" s="54">
        <f t="shared" si="101"/>
        <v>0</v>
      </c>
    </row>
    <row r="768" spans="1:23" hidden="1" x14ac:dyDescent="0.25">
      <c r="A768" s="52" t="str">
        <f t="shared" si="102"/>
        <v xml:space="preserve"> - выплата МП неработающим пенсионерам</v>
      </c>
      <c r="B768" s="52" t="str">
        <f t="shared" si="102"/>
        <v>321</v>
      </c>
      <c r="C768" s="52" t="str">
        <f t="shared" si="102"/>
        <v>296</v>
      </c>
      <c r="D768" s="60" t="s">
        <v>37</v>
      </c>
      <c r="E768" s="54"/>
      <c r="F768" s="54"/>
      <c r="G768" s="54"/>
      <c r="I768" s="56"/>
      <c r="R768" s="54"/>
      <c r="S768" s="54"/>
      <c r="T768" s="54"/>
      <c r="U768" s="54">
        <f t="shared" si="99"/>
        <v>0</v>
      </c>
      <c r="V768" s="54">
        <f t="shared" si="100"/>
        <v>0</v>
      </c>
      <c r="W768" s="54">
        <f t="shared" si="101"/>
        <v>0</v>
      </c>
    </row>
    <row r="769" spans="1:23" s="58" customFormat="1" hidden="1" x14ac:dyDescent="0.25">
      <c r="A769" s="52" t="str">
        <f t="shared" si="102"/>
        <v xml:space="preserve"> - прочие налоги и сборы</v>
      </c>
      <c r="B769" s="52" t="str">
        <f t="shared" si="102"/>
        <v>852</v>
      </c>
      <c r="C769" s="52" t="str">
        <f t="shared" si="102"/>
        <v>291</v>
      </c>
      <c r="D769" s="53" t="s">
        <v>37</v>
      </c>
      <c r="E769" s="54"/>
      <c r="F769" s="54"/>
      <c r="G769" s="54"/>
      <c r="H769" s="57"/>
      <c r="I769" s="57"/>
      <c r="R769" s="54"/>
      <c r="S769" s="54"/>
      <c r="T769" s="54"/>
      <c r="U769" s="54">
        <f t="shared" si="99"/>
        <v>0</v>
      </c>
      <c r="V769" s="54">
        <f t="shared" si="100"/>
        <v>0</v>
      </c>
      <c r="W769" s="54">
        <f t="shared" si="101"/>
        <v>0</v>
      </c>
    </row>
    <row r="770" spans="1:23" s="58" customFormat="1" ht="41.4" hidden="1" x14ac:dyDescent="0.25">
      <c r="A770" s="52" t="str">
        <f t="shared" si="102"/>
        <v xml:space="preserve"> - пеня</v>
      </c>
      <c r="B770" s="52" t="str">
        <f t="shared" si="102"/>
        <v>853</v>
      </c>
      <c r="C770" s="52" t="str">
        <f t="shared" si="102"/>
        <v>292,
295,
293</v>
      </c>
      <c r="D770" s="53" t="s">
        <v>37</v>
      </c>
      <c r="E770" s="54"/>
      <c r="F770" s="54"/>
      <c r="G770" s="54"/>
      <c r="I770" s="57"/>
      <c r="R770" s="54"/>
      <c r="S770" s="54"/>
      <c r="T770" s="54"/>
      <c r="U770" s="54">
        <f t="shared" si="99"/>
        <v>0</v>
      </c>
      <c r="V770" s="54">
        <f t="shared" si="100"/>
        <v>0</v>
      </c>
      <c r="W770" s="54">
        <f t="shared" si="101"/>
        <v>0</v>
      </c>
    </row>
    <row r="771" spans="1:23" hidden="1" x14ac:dyDescent="0.25">
      <c r="A771" s="52" t="str">
        <f t="shared" ref="A771:C790" si="103">A141</f>
        <v xml:space="preserve"> - налог на имущество</v>
      </c>
      <c r="B771" s="52" t="str">
        <f t="shared" si="103"/>
        <v>851</v>
      </c>
      <c r="C771" s="52" t="str">
        <f t="shared" si="103"/>
        <v>291</v>
      </c>
      <c r="D771" s="53" t="s">
        <v>37</v>
      </c>
      <c r="E771" s="54"/>
      <c r="F771" s="54"/>
      <c r="G771" s="54"/>
      <c r="H771" s="56"/>
      <c r="I771" s="56"/>
      <c r="R771" s="54"/>
      <c r="S771" s="54"/>
      <c r="T771" s="54"/>
      <c r="U771" s="54">
        <f t="shared" si="99"/>
        <v>0</v>
      </c>
      <c r="V771" s="54">
        <f t="shared" si="100"/>
        <v>0</v>
      </c>
      <c r="W771" s="54">
        <f t="shared" si="101"/>
        <v>0</v>
      </c>
    </row>
    <row r="772" spans="1:23" ht="27.6" hidden="1" x14ac:dyDescent="0.25">
      <c r="A772" s="52" t="str">
        <f t="shared" si="103"/>
        <v xml:space="preserve"> - компенсация расходов (морального вреда) по решению суда</v>
      </c>
      <c r="B772" s="52" t="str">
        <f t="shared" si="103"/>
        <v>831</v>
      </c>
      <c r="C772" s="52" t="str">
        <f t="shared" si="103"/>
        <v>296</v>
      </c>
      <c r="D772" s="53" t="s">
        <v>37</v>
      </c>
      <c r="E772" s="54"/>
      <c r="F772" s="54"/>
      <c r="G772" s="54"/>
      <c r="H772" s="56"/>
      <c r="I772" s="56"/>
      <c r="R772" s="54"/>
      <c r="S772" s="54"/>
      <c r="T772" s="54"/>
      <c r="U772" s="54">
        <f t="shared" si="99"/>
        <v>0</v>
      </c>
      <c r="V772" s="54">
        <f t="shared" si="100"/>
        <v>0</v>
      </c>
      <c r="W772" s="54">
        <f t="shared" si="101"/>
        <v>0</v>
      </c>
    </row>
    <row r="773" spans="1:23" ht="27.6" hidden="1" x14ac:dyDescent="0.25">
      <c r="A773" s="52" t="str">
        <f t="shared" si="103"/>
        <v xml:space="preserve"> - разработка проектно-сметной документации на капитальный ремонт крыши</v>
      </c>
      <c r="B773" s="52" t="str">
        <f t="shared" si="103"/>
        <v>243</v>
      </c>
      <c r="C773" s="52" t="str">
        <f t="shared" si="103"/>
        <v>226</v>
      </c>
      <c r="D773" s="53"/>
      <c r="E773" s="54"/>
      <c r="F773" s="54"/>
      <c r="G773" s="54"/>
      <c r="H773" s="56"/>
      <c r="I773" s="56"/>
      <c r="R773" s="54"/>
      <c r="S773" s="54"/>
      <c r="T773" s="54"/>
      <c r="U773" s="54"/>
      <c r="V773" s="54"/>
      <c r="W773" s="54"/>
    </row>
    <row r="774" spans="1:23" s="118" customFormat="1" hidden="1" x14ac:dyDescent="0.25">
      <c r="A774" s="115" t="str">
        <f t="shared" si="103"/>
        <v xml:space="preserve"> - увеличение стоимости основных средств</v>
      </c>
      <c r="B774" s="115" t="str">
        <f t="shared" si="103"/>
        <v>244</v>
      </c>
      <c r="C774" s="115" t="str">
        <f t="shared" si="103"/>
        <v>310</v>
      </c>
      <c r="D774" s="60"/>
      <c r="E774" s="61">
        <f>SUM(E775:E783)</f>
        <v>0</v>
      </c>
      <c r="F774" s="61">
        <f>SUM(F775:F783)</f>
        <v>0</v>
      </c>
      <c r="G774" s="61">
        <f>SUM(G775:G783)</f>
        <v>0</v>
      </c>
      <c r="H774" s="117"/>
      <c r="I774" s="117"/>
      <c r="R774" s="61"/>
      <c r="S774" s="61"/>
      <c r="T774" s="61"/>
      <c r="U774" s="61">
        <f t="shared" ref="U774:U805" si="104">E774-R774</f>
        <v>0</v>
      </c>
      <c r="V774" s="61">
        <f t="shared" ref="V774:V805" si="105">F774-S774</f>
        <v>0</v>
      </c>
      <c r="W774" s="61">
        <f t="shared" ref="W774:W805" si="106">G774-T774</f>
        <v>0</v>
      </c>
    </row>
    <row r="775" spans="1:23" s="58" customFormat="1" hidden="1" x14ac:dyDescent="0.25">
      <c r="A775" s="64" t="str">
        <f t="shared" si="103"/>
        <v xml:space="preserve"> - компьютерная техника</v>
      </c>
      <c r="B775" s="64" t="str">
        <f t="shared" si="103"/>
        <v>244</v>
      </c>
      <c r="C775" s="64" t="str">
        <f t="shared" si="103"/>
        <v>310</v>
      </c>
      <c r="D775" s="119"/>
      <c r="E775" s="120"/>
      <c r="F775" s="120"/>
      <c r="G775" s="120"/>
      <c r="H775" s="57"/>
      <c r="I775" s="57"/>
      <c r="R775" s="120"/>
      <c r="S775" s="120"/>
      <c r="T775" s="120"/>
      <c r="U775" s="120">
        <f t="shared" si="104"/>
        <v>0</v>
      </c>
      <c r="V775" s="120">
        <f t="shared" si="105"/>
        <v>0</v>
      </c>
      <c r="W775" s="120">
        <f t="shared" si="106"/>
        <v>0</v>
      </c>
    </row>
    <row r="776" spans="1:23" s="58" customFormat="1" hidden="1" x14ac:dyDescent="0.25">
      <c r="A776" s="64" t="str">
        <f t="shared" si="103"/>
        <v xml:space="preserve"> - кондиционеры</v>
      </c>
      <c r="B776" s="64" t="str">
        <f t="shared" si="103"/>
        <v>244</v>
      </c>
      <c r="C776" s="64" t="str">
        <f t="shared" si="103"/>
        <v>310</v>
      </c>
      <c r="D776" s="119"/>
      <c r="E776" s="120"/>
      <c r="F776" s="120"/>
      <c r="G776" s="120"/>
      <c r="H776" s="57"/>
      <c r="I776" s="57"/>
      <c r="R776" s="120"/>
      <c r="S776" s="120"/>
      <c r="T776" s="120"/>
      <c r="U776" s="120">
        <f t="shared" si="104"/>
        <v>0</v>
      </c>
      <c r="V776" s="120">
        <f t="shared" si="105"/>
        <v>0</v>
      </c>
      <c r="W776" s="120">
        <f t="shared" si="106"/>
        <v>0</v>
      </c>
    </row>
    <row r="777" spans="1:23" s="58" customFormat="1" hidden="1" x14ac:dyDescent="0.25">
      <c r="A777" s="64" t="str">
        <f t="shared" si="103"/>
        <v xml:space="preserve"> - мебель</v>
      </c>
      <c r="B777" s="64" t="str">
        <f t="shared" si="103"/>
        <v>244</v>
      </c>
      <c r="C777" s="64" t="str">
        <f t="shared" si="103"/>
        <v>310</v>
      </c>
      <c r="D777" s="119"/>
      <c r="E777" s="120"/>
      <c r="F777" s="120"/>
      <c r="G777" s="120"/>
      <c r="H777" s="57"/>
      <c r="I777" s="57"/>
      <c r="R777" s="120"/>
      <c r="S777" s="120"/>
      <c r="T777" s="120"/>
      <c r="U777" s="120">
        <f t="shared" si="104"/>
        <v>0</v>
      </c>
      <c r="V777" s="120">
        <f t="shared" si="105"/>
        <v>0</v>
      </c>
      <c r="W777" s="120">
        <f t="shared" si="106"/>
        <v>0</v>
      </c>
    </row>
    <row r="778" spans="1:23" s="58" customFormat="1" hidden="1" x14ac:dyDescent="0.25">
      <c r="A778" s="64" t="str">
        <f t="shared" si="103"/>
        <v xml:space="preserve"> - оборудование</v>
      </c>
      <c r="B778" s="64" t="str">
        <f t="shared" si="103"/>
        <v>244</v>
      </c>
      <c r="C778" s="64" t="str">
        <f t="shared" si="103"/>
        <v>310</v>
      </c>
      <c r="D778" s="119"/>
      <c r="E778" s="819"/>
      <c r="F778" s="120"/>
      <c r="G778" s="120"/>
      <c r="H778" s="57"/>
      <c r="I778" s="57"/>
      <c r="R778" s="120"/>
      <c r="S778" s="120"/>
      <c r="T778" s="120"/>
      <c r="U778" s="120">
        <f t="shared" si="104"/>
        <v>0</v>
      </c>
      <c r="V778" s="120">
        <f t="shared" si="105"/>
        <v>0</v>
      </c>
      <c r="W778" s="120">
        <f t="shared" si="106"/>
        <v>0</v>
      </c>
    </row>
    <row r="779" spans="1:23" s="58" customFormat="1" hidden="1" x14ac:dyDescent="0.25">
      <c r="A779" s="64" t="str">
        <f t="shared" si="103"/>
        <v xml:space="preserve"> - инструмент и инвентарь</v>
      </c>
      <c r="B779" s="64" t="str">
        <f t="shared" si="103"/>
        <v>244</v>
      </c>
      <c r="C779" s="64" t="str">
        <f t="shared" si="103"/>
        <v>310</v>
      </c>
      <c r="D779" s="119"/>
      <c r="E779" s="120"/>
      <c r="F779" s="120"/>
      <c r="G779" s="120"/>
      <c r="H779" s="57"/>
      <c r="I779" s="57"/>
      <c r="R779" s="120"/>
      <c r="S779" s="120"/>
      <c r="T779" s="120"/>
      <c r="U779" s="120">
        <f t="shared" si="104"/>
        <v>0</v>
      </c>
      <c r="V779" s="120">
        <f t="shared" si="105"/>
        <v>0</v>
      </c>
      <c r="W779" s="120">
        <f t="shared" si="106"/>
        <v>0</v>
      </c>
    </row>
    <row r="780" spans="1:23" s="58" customFormat="1" hidden="1" x14ac:dyDescent="0.25">
      <c r="A780" s="64" t="str">
        <f t="shared" si="103"/>
        <v xml:space="preserve"> - турникет</v>
      </c>
      <c r="B780" s="64" t="str">
        <f t="shared" si="103"/>
        <v>244</v>
      </c>
      <c r="C780" s="64" t="str">
        <f t="shared" si="103"/>
        <v>310</v>
      </c>
      <c r="D780" s="119"/>
      <c r="E780" s="120"/>
      <c r="F780" s="120"/>
      <c r="G780" s="120"/>
      <c r="H780" s="57"/>
      <c r="I780" s="57"/>
      <c r="R780" s="120"/>
      <c r="S780" s="120"/>
      <c r="T780" s="120"/>
      <c r="U780" s="120">
        <f t="shared" si="104"/>
        <v>0</v>
      </c>
      <c r="V780" s="120">
        <f t="shared" si="105"/>
        <v>0</v>
      </c>
      <c r="W780" s="120">
        <f t="shared" si="106"/>
        <v>0</v>
      </c>
    </row>
    <row r="781" spans="1:23" s="58" customFormat="1" hidden="1" x14ac:dyDescent="0.25">
      <c r="A781" s="64" t="str">
        <f t="shared" si="103"/>
        <v xml:space="preserve"> - жалюзи</v>
      </c>
      <c r="B781" s="64" t="str">
        <f t="shared" si="103"/>
        <v>244</v>
      </c>
      <c r="C781" s="64" t="str">
        <f t="shared" si="103"/>
        <v>310</v>
      </c>
      <c r="D781" s="119"/>
      <c r="E781" s="120"/>
      <c r="F781" s="120"/>
      <c r="G781" s="120"/>
      <c r="H781" s="57"/>
      <c r="I781" s="57"/>
      <c r="R781" s="120"/>
      <c r="S781" s="120"/>
      <c r="T781" s="120"/>
      <c r="U781" s="120">
        <f t="shared" si="104"/>
        <v>0</v>
      </c>
      <c r="V781" s="120">
        <f t="shared" si="105"/>
        <v>0</v>
      </c>
      <c r="W781" s="120">
        <f t="shared" si="106"/>
        <v>0</v>
      </c>
    </row>
    <row r="782" spans="1:23" s="58" customFormat="1" hidden="1" x14ac:dyDescent="0.25">
      <c r="A782" s="64" t="str">
        <f t="shared" si="103"/>
        <v xml:space="preserve"> - игрушки</v>
      </c>
      <c r="B782" s="64" t="str">
        <f t="shared" si="103"/>
        <v>244</v>
      </c>
      <c r="C782" s="64" t="str">
        <f t="shared" si="103"/>
        <v>310</v>
      </c>
      <c r="D782" s="119"/>
      <c r="E782" s="120"/>
      <c r="F782" s="120"/>
      <c r="G782" s="120"/>
      <c r="H782" s="57"/>
      <c r="I782" s="57"/>
      <c r="R782" s="120"/>
      <c r="S782" s="120"/>
      <c r="T782" s="120"/>
      <c r="U782" s="120">
        <f t="shared" si="104"/>
        <v>0</v>
      </c>
      <c r="V782" s="120">
        <f t="shared" si="105"/>
        <v>0</v>
      </c>
      <c r="W782" s="120">
        <f t="shared" si="106"/>
        <v>0</v>
      </c>
    </row>
    <row r="783" spans="1:23" s="58" customFormat="1" hidden="1" x14ac:dyDescent="0.25">
      <c r="A783" s="64" t="str">
        <f t="shared" si="103"/>
        <v xml:space="preserve"> - металлические входные двери</v>
      </c>
      <c r="B783" s="64" t="str">
        <f t="shared" si="103"/>
        <v>244</v>
      </c>
      <c r="C783" s="64" t="str">
        <f t="shared" si="103"/>
        <v>310</v>
      </c>
      <c r="D783" s="119"/>
      <c r="E783" s="120"/>
      <c r="F783" s="120"/>
      <c r="G783" s="120"/>
      <c r="H783" s="57"/>
      <c r="I783" s="57"/>
      <c r="R783" s="120"/>
      <c r="S783" s="120"/>
      <c r="T783" s="120"/>
      <c r="U783" s="120">
        <f t="shared" si="104"/>
        <v>0</v>
      </c>
      <c r="V783" s="120">
        <f t="shared" si="105"/>
        <v>0</v>
      </c>
      <c r="W783" s="120">
        <f t="shared" si="106"/>
        <v>0</v>
      </c>
    </row>
    <row r="784" spans="1:23" s="45" customFormat="1" ht="27.6" hidden="1" x14ac:dyDescent="0.25">
      <c r="A784" s="52" t="str">
        <f t="shared" si="103"/>
        <v xml:space="preserve"> - увеличение стоимости материальных запасов, всего:</v>
      </c>
      <c r="B784" s="52" t="str">
        <f t="shared" si="103"/>
        <v>244</v>
      </c>
      <c r="C784" s="52" t="str">
        <f t="shared" si="103"/>
        <v>340</v>
      </c>
      <c r="D784" s="104"/>
      <c r="E784" s="62">
        <f>SUM(E785:E799)</f>
        <v>0</v>
      </c>
      <c r="F784" s="62">
        <f>SUM(F785:F799)</f>
        <v>0</v>
      </c>
      <c r="G784" s="62">
        <f>SUM(G785:G799)</f>
        <v>0</v>
      </c>
      <c r="H784" s="63"/>
      <c r="I784" s="63"/>
      <c r="R784" s="62"/>
      <c r="S784" s="62"/>
      <c r="T784" s="62"/>
      <c r="U784" s="62">
        <f t="shared" si="104"/>
        <v>0</v>
      </c>
      <c r="V784" s="62">
        <f t="shared" si="105"/>
        <v>0</v>
      </c>
      <c r="W784" s="62">
        <f t="shared" si="106"/>
        <v>0</v>
      </c>
    </row>
    <row r="785" spans="1:23" s="58" customFormat="1" hidden="1" x14ac:dyDescent="0.25">
      <c r="A785" s="52" t="str">
        <f t="shared" si="103"/>
        <v xml:space="preserve"> - ГСМ</v>
      </c>
      <c r="B785" s="52" t="str">
        <f t="shared" si="103"/>
        <v>244</v>
      </c>
      <c r="C785" s="52" t="str">
        <f t="shared" si="103"/>
        <v>343</v>
      </c>
      <c r="D785" s="53"/>
      <c r="E785" s="54"/>
      <c r="F785" s="54"/>
      <c r="G785" s="54"/>
      <c r="H785" s="57"/>
      <c r="I785" s="57"/>
      <c r="R785" s="54"/>
      <c r="S785" s="54"/>
      <c r="T785" s="54"/>
      <c r="U785" s="54">
        <f t="shared" si="104"/>
        <v>0</v>
      </c>
      <c r="V785" s="54">
        <f t="shared" si="105"/>
        <v>0</v>
      </c>
      <c r="W785" s="54">
        <f t="shared" si="106"/>
        <v>0</v>
      </c>
    </row>
    <row r="786" spans="1:23" s="58" customFormat="1" hidden="1" x14ac:dyDescent="0.25">
      <c r="A786" s="52" t="str">
        <f t="shared" si="103"/>
        <v xml:space="preserve"> - продукты питания</v>
      </c>
      <c r="B786" s="52" t="str">
        <f t="shared" si="103"/>
        <v>244</v>
      </c>
      <c r="C786" s="52" t="str">
        <f t="shared" si="103"/>
        <v>342</v>
      </c>
      <c r="D786" s="53"/>
      <c r="E786" s="54"/>
      <c r="F786" s="54"/>
      <c r="G786" s="54"/>
      <c r="H786" s="57"/>
      <c r="I786" s="57"/>
      <c r="R786" s="54"/>
      <c r="S786" s="54"/>
      <c r="T786" s="54"/>
      <c r="U786" s="54">
        <f t="shared" si="104"/>
        <v>0</v>
      </c>
      <c r="V786" s="54">
        <f t="shared" si="105"/>
        <v>0</v>
      </c>
      <c r="W786" s="54">
        <f t="shared" si="106"/>
        <v>0</v>
      </c>
    </row>
    <row r="787" spans="1:23" s="58" customFormat="1" hidden="1" x14ac:dyDescent="0.25">
      <c r="A787" s="52" t="str">
        <f t="shared" si="103"/>
        <v xml:space="preserve"> - расходные материалы к комп.технике</v>
      </c>
      <c r="B787" s="52" t="str">
        <f t="shared" si="103"/>
        <v>244</v>
      </c>
      <c r="C787" s="52" t="str">
        <f t="shared" si="103"/>
        <v>346</v>
      </c>
      <c r="D787" s="53"/>
      <c r="E787" s="54"/>
      <c r="F787" s="54"/>
      <c r="G787" s="54"/>
      <c r="H787" s="57"/>
      <c r="I787" s="57"/>
      <c r="R787" s="54"/>
      <c r="S787" s="54"/>
      <c r="T787" s="54"/>
      <c r="U787" s="54">
        <f t="shared" si="104"/>
        <v>0</v>
      </c>
      <c r="V787" s="54">
        <f t="shared" si="105"/>
        <v>0</v>
      </c>
      <c r="W787" s="54">
        <f t="shared" si="106"/>
        <v>0</v>
      </c>
    </row>
    <row r="788" spans="1:23" s="58" customFormat="1" hidden="1" x14ac:dyDescent="0.25">
      <c r="A788" s="52" t="str">
        <f t="shared" si="103"/>
        <v xml:space="preserve"> - медикаменты</v>
      </c>
      <c r="B788" s="52" t="str">
        <f t="shared" si="103"/>
        <v>244</v>
      </c>
      <c r="C788" s="52" t="str">
        <f t="shared" si="103"/>
        <v>341</v>
      </c>
      <c r="D788" s="53"/>
      <c r="E788" s="54"/>
      <c r="F788" s="54"/>
      <c r="G788" s="54"/>
      <c r="H788" s="57"/>
      <c r="I788" s="57"/>
      <c r="R788" s="54"/>
      <c r="S788" s="54"/>
      <c r="T788" s="54"/>
      <c r="U788" s="54">
        <f t="shared" si="104"/>
        <v>0</v>
      </c>
      <c r="V788" s="54">
        <f t="shared" si="105"/>
        <v>0</v>
      </c>
      <c r="W788" s="54">
        <f t="shared" si="106"/>
        <v>0</v>
      </c>
    </row>
    <row r="789" spans="1:23" s="58" customFormat="1" hidden="1" x14ac:dyDescent="0.25">
      <c r="A789" s="52" t="str">
        <f t="shared" si="103"/>
        <v xml:space="preserve"> - строительные материалы</v>
      </c>
      <c r="B789" s="52" t="str">
        <f t="shared" si="103"/>
        <v>244</v>
      </c>
      <c r="C789" s="52" t="str">
        <f t="shared" si="103"/>
        <v>344</v>
      </c>
      <c r="D789" s="53"/>
      <c r="E789" s="54"/>
      <c r="F789" s="54"/>
      <c r="G789" s="54"/>
      <c r="H789" s="57"/>
      <c r="I789" s="57"/>
      <c r="R789" s="54"/>
      <c r="S789" s="54"/>
      <c r="T789" s="54"/>
      <c r="U789" s="54">
        <f t="shared" si="104"/>
        <v>0</v>
      </c>
      <c r="V789" s="54">
        <f t="shared" si="105"/>
        <v>0</v>
      </c>
      <c r="W789" s="54">
        <f t="shared" si="106"/>
        <v>0</v>
      </c>
    </row>
    <row r="790" spans="1:23" s="58" customFormat="1" hidden="1" x14ac:dyDescent="0.25">
      <c r="A790" s="52" t="str">
        <f t="shared" si="103"/>
        <v xml:space="preserve"> - ворота, калитка</v>
      </c>
      <c r="B790" s="52" t="str">
        <f t="shared" si="103"/>
        <v>244</v>
      </c>
      <c r="C790" s="52" t="str">
        <f t="shared" si="103"/>
        <v>344</v>
      </c>
      <c r="D790" s="53"/>
      <c r="E790" s="54"/>
      <c r="F790" s="54"/>
      <c r="G790" s="54"/>
      <c r="H790" s="57"/>
      <c r="I790" s="57"/>
      <c r="R790" s="54"/>
      <c r="S790" s="54"/>
      <c r="T790" s="54"/>
      <c r="U790" s="54">
        <f t="shared" si="104"/>
        <v>0</v>
      </c>
      <c r="V790" s="54">
        <f t="shared" si="105"/>
        <v>0</v>
      </c>
      <c r="W790" s="54">
        <f t="shared" si="106"/>
        <v>0</v>
      </c>
    </row>
    <row r="791" spans="1:23" s="58" customFormat="1" hidden="1" x14ac:dyDescent="0.25">
      <c r="A791" s="52" t="str">
        <f t="shared" ref="A791:C799" si="107">A161</f>
        <v xml:space="preserve"> - канцелярские товары</v>
      </c>
      <c r="B791" s="52" t="str">
        <f t="shared" si="107"/>
        <v>244</v>
      </c>
      <c r="C791" s="52" t="str">
        <f t="shared" si="107"/>
        <v>346</v>
      </c>
      <c r="D791" s="53"/>
      <c r="E791" s="54"/>
      <c r="F791" s="54"/>
      <c r="G791" s="54"/>
      <c r="H791" s="57"/>
      <c r="I791" s="57"/>
      <c r="R791" s="54"/>
      <c r="S791" s="54"/>
      <c r="T791" s="54"/>
      <c r="U791" s="54">
        <f t="shared" si="104"/>
        <v>0</v>
      </c>
      <c r="V791" s="54">
        <f t="shared" si="105"/>
        <v>0</v>
      </c>
      <c r="W791" s="54">
        <f t="shared" si="106"/>
        <v>0</v>
      </c>
    </row>
    <row r="792" spans="1:23" s="58" customFormat="1" hidden="1" x14ac:dyDescent="0.25">
      <c r="A792" s="52" t="str">
        <f t="shared" si="107"/>
        <v xml:space="preserve"> - хозяйственные товары, электрика</v>
      </c>
      <c r="B792" s="52" t="str">
        <f t="shared" si="107"/>
        <v>244</v>
      </c>
      <c r="C792" s="52" t="str">
        <f t="shared" si="107"/>
        <v>346</v>
      </c>
      <c r="D792" s="53"/>
      <c r="E792" s="54"/>
      <c r="F792" s="54"/>
      <c r="G792" s="54"/>
      <c r="H792" s="57"/>
      <c r="I792" s="57"/>
      <c r="R792" s="54"/>
      <c r="S792" s="54"/>
      <c r="T792" s="54"/>
      <c r="U792" s="54">
        <f t="shared" si="104"/>
        <v>0</v>
      </c>
      <c r="V792" s="54">
        <f t="shared" si="105"/>
        <v>0</v>
      </c>
      <c r="W792" s="54">
        <f t="shared" si="106"/>
        <v>0</v>
      </c>
    </row>
    <row r="793" spans="1:23" s="58" customFormat="1" hidden="1" x14ac:dyDescent="0.25">
      <c r="A793" s="52" t="str">
        <f t="shared" si="107"/>
        <v xml:space="preserve"> - бланки</v>
      </c>
      <c r="B793" s="52" t="str">
        <f t="shared" si="107"/>
        <v>244</v>
      </c>
      <c r="C793" s="52" t="str">
        <f t="shared" si="107"/>
        <v>346</v>
      </c>
      <c r="D793" s="53"/>
      <c r="E793" s="54"/>
      <c r="F793" s="54"/>
      <c r="G793" s="54"/>
      <c r="H793" s="57"/>
      <c r="I793" s="57"/>
      <c r="R793" s="54"/>
      <c r="S793" s="54"/>
      <c r="T793" s="54"/>
      <c r="U793" s="54">
        <f t="shared" si="104"/>
        <v>0</v>
      </c>
      <c r="V793" s="54">
        <f t="shared" si="105"/>
        <v>0</v>
      </c>
      <c r="W793" s="54">
        <f t="shared" si="106"/>
        <v>0</v>
      </c>
    </row>
    <row r="794" spans="1:23" s="58" customFormat="1" hidden="1" x14ac:dyDescent="0.25">
      <c r="A794" s="52" t="str">
        <f t="shared" si="107"/>
        <v xml:space="preserve"> - моющие</v>
      </c>
      <c r="B794" s="52" t="str">
        <f t="shared" si="107"/>
        <v>244</v>
      </c>
      <c r="C794" s="52" t="str">
        <f t="shared" si="107"/>
        <v>346</v>
      </c>
      <c r="D794" s="53"/>
      <c r="E794" s="54"/>
      <c r="F794" s="54"/>
      <c r="G794" s="54"/>
      <c r="H794" s="57"/>
      <c r="I794" s="57"/>
      <c r="R794" s="54"/>
      <c r="S794" s="54"/>
      <c r="T794" s="54"/>
      <c r="U794" s="54">
        <f t="shared" si="104"/>
        <v>0</v>
      </c>
      <c r="V794" s="54">
        <f t="shared" si="105"/>
        <v>0</v>
      </c>
      <c r="W794" s="54">
        <f t="shared" si="106"/>
        <v>0</v>
      </c>
    </row>
    <row r="795" spans="1:23" s="58" customFormat="1" hidden="1" x14ac:dyDescent="0.25">
      <c r="A795" s="52" t="str">
        <f t="shared" si="107"/>
        <v xml:space="preserve"> - новогодние подарки детям сотрудников</v>
      </c>
      <c r="B795" s="52" t="str">
        <f t="shared" si="107"/>
        <v>244</v>
      </c>
      <c r="C795" s="52" t="str">
        <f t="shared" si="107"/>
        <v>349</v>
      </c>
      <c r="D795" s="53"/>
      <c r="E795" s="54"/>
      <c r="F795" s="54"/>
      <c r="G795" s="54"/>
      <c r="H795" s="57"/>
      <c r="I795" s="57"/>
      <c r="R795" s="54"/>
      <c r="S795" s="54"/>
      <c r="T795" s="54"/>
      <c r="U795" s="54">
        <f t="shared" si="104"/>
        <v>0</v>
      </c>
      <c r="V795" s="54">
        <f t="shared" si="105"/>
        <v>0</v>
      </c>
      <c r="W795" s="54">
        <f t="shared" si="106"/>
        <v>0</v>
      </c>
    </row>
    <row r="796" spans="1:23" s="58" customFormat="1" hidden="1" x14ac:dyDescent="0.25">
      <c r="A796" s="52" t="str">
        <f t="shared" si="107"/>
        <v xml:space="preserve"> - новогодние подарки сотрудникам</v>
      </c>
      <c r="B796" s="52" t="str">
        <f t="shared" si="107"/>
        <v>244</v>
      </c>
      <c r="C796" s="52" t="str">
        <f t="shared" si="107"/>
        <v>349</v>
      </c>
      <c r="D796" s="53"/>
      <c r="E796" s="54"/>
      <c r="F796" s="54"/>
      <c r="G796" s="54"/>
      <c r="H796" s="57"/>
      <c r="I796" s="57"/>
      <c r="R796" s="54"/>
      <c r="S796" s="54"/>
      <c r="T796" s="54"/>
      <c r="U796" s="54">
        <f t="shared" si="104"/>
        <v>0</v>
      </c>
      <c r="V796" s="54">
        <f t="shared" si="105"/>
        <v>0</v>
      </c>
      <c r="W796" s="54">
        <f t="shared" si="106"/>
        <v>0</v>
      </c>
    </row>
    <row r="797" spans="1:23" s="58" customFormat="1" hidden="1" x14ac:dyDescent="0.25">
      <c r="A797" s="52" t="str">
        <f t="shared" si="107"/>
        <v xml:space="preserve"> - прочие материальные запасы</v>
      </c>
      <c r="B797" s="52" t="str">
        <f t="shared" si="107"/>
        <v>244</v>
      </c>
      <c r="C797" s="52" t="str">
        <f t="shared" si="107"/>
        <v>346</v>
      </c>
      <c r="D797" s="53"/>
      <c r="E797" s="54"/>
      <c r="F797" s="54"/>
      <c r="G797" s="54"/>
      <c r="H797" s="57"/>
      <c r="I797" s="57"/>
      <c r="R797" s="54"/>
      <c r="S797" s="54"/>
      <c r="T797" s="54"/>
      <c r="U797" s="54">
        <f t="shared" si="104"/>
        <v>0</v>
      </c>
      <c r="V797" s="54">
        <f t="shared" si="105"/>
        <v>0</v>
      </c>
      <c r="W797" s="54">
        <f t="shared" si="106"/>
        <v>0</v>
      </c>
    </row>
    <row r="798" spans="1:23" s="58" customFormat="1" hidden="1" x14ac:dyDescent="0.25">
      <c r="A798" s="52" t="str">
        <f t="shared" si="107"/>
        <v xml:space="preserve"> - спецодежда МОП</v>
      </c>
      <c r="B798" s="52" t="str">
        <f t="shared" si="107"/>
        <v>244</v>
      </c>
      <c r="C798" s="52" t="str">
        <f t="shared" si="107"/>
        <v>345</v>
      </c>
      <c r="D798" s="53"/>
      <c r="E798" s="54"/>
      <c r="F798" s="54"/>
      <c r="G798" s="54"/>
      <c r="H798" s="57"/>
      <c r="I798" s="57"/>
      <c r="R798" s="54"/>
      <c r="S798" s="54"/>
      <c r="T798" s="54"/>
      <c r="U798" s="54">
        <f t="shared" si="104"/>
        <v>0</v>
      </c>
      <c r="V798" s="54">
        <f t="shared" si="105"/>
        <v>0</v>
      </c>
      <c r="W798" s="54">
        <f t="shared" si="106"/>
        <v>0</v>
      </c>
    </row>
    <row r="799" spans="1:23" s="58" customFormat="1" hidden="1" x14ac:dyDescent="0.25">
      <c r="A799" s="52" t="str">
        <f t="shared" si="107"/>
        <v xml:space="preserve"> - запчасти для а/м</v>
      </c>
      <c r="B799" s="52" t="str">
        <f t="shared" si="107"/>
        <v>244</v>
      </c>
      <c r="C799" s="52" t="str">
        <f t="shared" si="107"/>
        <v>346</v>
      </c>
      <c r="D799" s="53"/>
      <c r="E799" s="54"/>
      <c r="F799" s="54"/>
      <c r="G799" s="54"/>
      <c r="H799" s="57"/>
      <c r="I799" s="57"/>
      <c r="R799" s="54"/>
      <c r="S799" s="54"/>
      <c r="T799" s="54"/>
      <c r="U799" s="54">
        <f t="shared" si="104"/>
        <v>0</v>
      </c>
      <c r="V799" s="54">
        <f t="shared" si="105"/>
        <v>0</v>
      </c>
      <c r="W799" s="54">
        <f t="shared" si="106"/>
        <v>0</v>
      </c>
    </row>
    <row r="800" spans="1:23" s="45" customFormat="1" x14ac:dyDescent="0.25">
      <c r="A800" s="71" t="s">
        <v>344</v>
      </c>
      <c r="B800" s="702"/>
      <c r="C800" s="702"/>
      <c r="D800" s="702" t="s">
        <v>37</v>
      </c>
      <c r="E800" s="703">
        <f>SUM(E801,E802,E803,E804,E805,E806,E807,E815,E813,E839,E857,E859,E860,E861,E862,E864,E874,E811,E814,E858,E810,E812,E856,E863)</f>
        <v>3427808.17</v>
      </c>
      <c r="F800" s="703">
        <f>SUM(F801,F802,F803,F804,F805,F806,F807,F815,F813,F839,F857,F859,F860,F861,F862,F864,F874,F811,F814,F858,F810,F812,F856,F863)</f>
        <v>3321598</v>
      </c>
      <c r="G800" s="703">
        <f>SUM(G801,G802,G803,G804,G805,G806,G807,G815,G813,G839,G857,G859,G860,G861,G862,G864,G874,G811,G814,G858,G810,G812,G856,G863)</f>
        <v>3321598</v>
      </c>
      <c r="R800" s="61"/>
      <c r="S800" s="61"/>
      <c r="T800" s="61"/>
      <c r="U800" s="61">
        <f t="shared" si="104"/>
        <v>3427808.17</v>
      </c>
      <c r="V800" s="61">
        <f t="shared" si="105"/>
        <v>3321598</v>
      </c>
      <c r="W800" s="61">
        <f t="shared" si="106"/>
        <v>3321598</v>
      </c>
    </row>
    <row r="801" spans="1:23" hidden="1" x14ac:dyDescent="0.25">
      <c r="A801" s="441" t="str">
        <f t="shared" ref="A801:C820" si="108">A81</f>
        <v xml:space="preserve"> - заработная плата</v>
      </c>
      <c r="B801" s="441" t="str">
        <f t="shared" si="108"/>
        <v>111</v>
      </c>
      <c r="C801" s="441" t="str">
        <f t="shared" si="108"/>
        <v>211</v>
      </c>
      <c r="D801" s="53" t="s">
        <v>37</v>
      </c>
      <c r="E801" s="54"/>
      <c r="F801" s="54"/>
      <c r="G801" s="54"/>
      <c r="H801" s="56"/>
      <c r="R801" s="54"/>
      <c r="S801" s="54"/>
      <c r="T801" s="54"/>
      <c r="U801" s="54">
        <f t="shared" si="104"/>
        <v>0</v>
      </c>
      <c r="V801" s="54">
        <f t="shared" si="105"/>
        <v>0</v>
      </c>
      <c r="W801" s="54">
        <f t="shared" si="106"/>
        <v>0</v>
      </c>
    </row>
    <row r="802" spans="1:23" hidden="1" x14ac:dyDescent="0.25">
      <c r="A802" s="52" t="str">
        <f t="shared" si="108"/>
        <v xml:space="preserve"> - 3 дн б/л за счет работодателя</v>
      </c>
      <c r="B802" s="52" t="str">
        <f t="shared" si="108"/>
        <v>111</v>
      </c>
      <c r="C802" s="52" t="str">
        <f t="shared" si="108"/>
        <v>266</v>
      </c>
      <c r="D802" s="53" t="s">
        <v>37</v>
      </c>
      <c r="E802" s="54"/>
      <c r="F802" s="54"/>
      <c r="G802" s="54"/>
      <c r="H802" s="56"/>
      <c r="R802" s="54"/>
      <c r="S802" s="54"/>
      <c r="T802" s="54"/>
      <c r="U802" s="54">
        <f t="shared" si="104"/>
        <v>0</v>
      </c>
      <c r="V802" s="54">
        <f t="shared" si="105"/>
        <v>0</v>
      </c>
      <c r="W802" s="54">
        <f t="shared" si="106"/>
        <v>0</v>
      </c>
    </row>
    <row r="803" spans="1:23" s="58" customFormat="1" hidden="1" x14ac:dyDescent="0.25">
      <c r="A803" s="52" t="str">
        <f t="shared" si="108"/>
        <v xml:space="preserve"> - пособие по уходу за ребенком</v>
      </c>
      <c r="B803" s="52" t="str">
        <f t="shared" si="108"/>
        <v>112</v>
      </c>
      <c r="C803" s="52" t="str">
        <f t="shared" si="108"/>
        <v>266</v>
      </c>
      <c r="D803" s="53" t="s">
        <v>37</v>
      </c>
      <c r="E803" s="54"/>
      <c r="F803" s="54"/>
      <c r="G803" s="54"/>
      <c r="H803" s="57"/>
      <c r="I803" s="57"/>
      <c r="R803" s="54"/>
      <c r="S803" s="54"/>
      <c r="T803" s="54"/>
      <c r="U803" s="54">
        <f t="shared" si="104"/>
        <v>0</v>
      </c>
      <c r="V803" s="54">
        <f t="shared" si="105"/>
        <v>0</v>
      </c>
      <c r="W803" s="54">
        <f t="shared" si="106"/>
        <v>0</v>
      </c>
    </row>
    <row r="804" spans="1:23" s="58" customFormat="1" hidden="1" x14ac:dyDescent="0.25">
      <c r="A804" s="52" t="str">
        <f t="shared" si="108"/>
        <v xml:space="preserve"> - предварительный мед.осмотр (возм.расх.)</v>
      </c>
      <c r="B804" s="52" t="str">
        <f t="shared" si="108"/>
        <v>112</v>
      </c>
      <c r="C804" s="52" t="str">
        <f t="shared" si="108"/>
        <v>226</v>
      </c>
      <c r="D804" s="53" t="s">
        <v>37</v>
      </c>
      <c r="E804" s="54"/>
      <c r="F804" s="54"/>
      <c r="G804" s="54"/>
      <c r="H804" s="57"/>
      <c r="I804" s="57"/>
      <c r="R804" s="54"/>
      <c r="S804" s="54"/>
      <c r="T804" s="54"/>
      <c r="U804" s="54">
        <f t="shared" si="104"/>
        <v>0</v>
      </c>
      <c r="V804" s="54">
        <f t="shared" si="105"/>
        <v>0</v>
      </c>
      <c r="W804" s="54">
        <f t="shared" si="106"/>
        <v>0</v>
      </c>
    </row>
    <row r="805" spans="1:23" s="58" customFormat="1" hidden="1" x14ac:dyDescent="0.25">
      <c r="A805" s="52" t="str">
        <f t="shared" si="108"/>
        <v xml:space="preserve"> - НДФЛ</v>
      </c>
      <c r="B805" s="52" t="str">
        <f t="shared" si="108"/>
        <v>112</v>
      </c>
      <c r="C805" s="52" t="str">
        <f t="shared" si="108"/>
        <v>266</v>
      </c>
      <c r="D805" s="53" t="s">
        <v>37</v>
      </c>
      <c r="E805" s="54"/>
      <c r="F805" s="54"/>
      <c r="G805" s="54"/>
      <c r="H805" s="57"/>
      <c r="I805" s="57"/>
      <c r="R805" s="54"/>
      <c r="S805" s="54"/>
      <c r="T805" s="54"/>
      <c r="U805" s="54">
        <f t="shared" si="104"/>
        <v>0</v>
      </c>
      <c r="V805" s="54">
        <f t="shared" si="105"/>
        <v>0</v>
      </c>
      <c r="W805" s="54">
        <f t="shared" si="106"/>
        <v>0</v>
      </c>
    </row>
    <row r="806" spans="1:23" hidden="1" x14ac:dyDescent="0.25">
      <c r="A806" s="52" t="str">
        <f t="shared" si="108"/>
        <v xml:space="preserve"> - начисления на оплату труда</v>
      </c>
      <c r="B806" s="52" t="str">
        <f t="shared" si="108"/>
        <v>119</v>
      </c>
      <c r="C806" s="52" t="str">
        <f t="shared" si="108"/>
        <v>213</v>
      </c>
      <c r="D806" s="53" t="s">
        <v>37</v>
      </c>
      <c r="E806" s="54"/>
      <c r="F806" s="54"/>
      <c r="G806" s="54"/>
      <c r="H806" s="56"/>
      <c r="R806" s="54"/>
      <c r="S806" s="54"/>
      <c r="T806" s="54"/>
      <c r="U806" s="54">
        <f t="shared" ref="U806:U837" si="109">E806-R806</f>
        <v>0</v>
      </c>
      <c r="V806" s="54">
        <f t="shared" ref="V806:V837" si="110">F806-S806</f>
        <v>0</v>
      </c>
      <c r="W806" s="54">
        <f t="shared" ref="W806:W837" si="111">G806-T806</f>
        <v>0</v>
      </c>
    </row>
    <row r="807" spans="1:23" s="45" customFormat="1" hidden="1" x14ac:dyDescent="0.25">
      <c r="A807" s="52" t="str">
        <f t="shared" si="108"/>
        <v xml:space="preserve"> - услуги связи, всего:</v>
      </c>
      <c r="B807" s="52" t="str">
        <f t="shared" si="108"/>
        <v>244</v>
      </c>
      <c r="C807" s="52" t="str">
        <f t="shared" si="108"/>
        <v>221</v>
      </c>
      <c r="D807" s="60"/>
      <c r="E807" s="61">
        <f>SUM(E808:E809)</f>
        <v>0</v>
      </c>
      <c r="F807" s="61">
        <f>SUM(F808:F809)</f>
        <v>0</v>
      </c>
      <c r="G807" s="61">
        <f>SUM(G808:G809)</f>
        <v>0</v>
      </c>
      <c r="H807" s="63"/>
      <c r="R807" s="61"/>
      <c r="S807" s="61"/>
      <c r="T807" s="61"/>
      <c r="U807" s="61">
        <f t="shared" si="109"/>
        <v>0</v>
      </c>
      <c r="V807" s="61">
        <f t="shared" si="110"/>
        <v>0</v>
      </c>
      <c r="W807" s="61">
        <f t="shared" si="111"/>
        <v>0</v>
      </c>
    </row>
    <row r="808" spans="1:23" ht="27.6" hidden="1" x14ac:dyDescent="0.25">
      <c r="A808" s="52" t="str">
        <f t="shared" si="108"/>
        <v xml:space="preserve">   в том числе:
    - ГТС и МТС</v>
      </c>
      <c r="B808" s="52" t="str">
        <f t="shared" si="108"/>
        <v>244</v>
      </c>
      <c r="C808" s="52" t="str">
        <f t="shared" si="108"/>
        <v>221</v>
      </c>
      <c r="D808" s="53"/>
      <c r="E808" s="54"/>
      <c r="F808" s="54"/>
      <c r="G808" s="54"/>
      <c r="H808" s="56"/>
      <c r="I808" s="56"/>
      <c r="R808" s="54"/>
      <c r="S808" s="54"/>
      <c r="T808" s="54"/>
      <c r="U808" s="54">
        <f t="shared" si="109"/>
        <v>0</v>
      </c>
      <c r="V808" s="54">
        <f t="shared" si="110"/>
        <v>0</v>
      </c>
      <c r="W808" s="54">
        <f t="shared" si="111"/>
        <v>0</v>
      </c>
    </row>
    <row r="809" spans="1:23" s="58" customFormat="1" hidden="1" x14ac:dyDescent="0.25">
      <c r="A809" s="52" t="str">
        <f t="shared" si="108"/>
        <v xml:space="preserve">    - интернет </v>
      </c>
      <c r="B809" s="52" t="str">
        <f t="shared" si="108"/>
        <v>244</v>
      </c>
      <c r="C809" s="52" t="str">
        <f t="shared" si="108"/>
        <v>221</v>
      </c>
      <c r="D809" s="53"/>
      <c r="E809" s="54"/>
      <c r="F809" s="54"/>
      <c r="G809" s="54"/>
      <c r="H809" s="57"/>
      <c r="I809" s="57"/>
      <c r="R809" s="54"/>
      <c r="S809" s="54"/>
      <c r="T809" s="54"/>
      <c r="U809" s="54">
        <f t="shared" si="109"/>
        <v>0</v>
      </c>
      <c r="V809" s="54">
        <f t="shared" si="110"/>
        <v>0</v>
      </c>
      <c r="W809" s="54">
        <f t="shared" si="111"/>
        <v>0</v>
      </c>
    </row>
    <row r="810" spans="1:23" s="58" customFormat="1" hidden="1" x14ac:dyDescent="0.25">
      <c r="A810" s="52" t="str">
        <f t="shared" si="108"/>
        <v xml:space="preserve"> - транспортные расходы</v>
      </c>
      <c r="B810" s="52" t="str">
        <f t="shared" si="108"/>
        <v>244</v>
      </c>
      <c r="C810" s="52" t="str">
        <f t="shared" si="108"/>
        <v>222</v>
      </c>
      <c r="D810" s="53"/>
      <c r="E810" s="54"/>
      <c r="F810" s="54"/>
      <c r="G810" s="54"/>
      <c r="I810" s="57"/>
      <c r="R810" s="54"/>
      <c r="S810" s="54"/>
      <c r="T810" s="54"/>
      <c r="U810" s="54">
        <f t="shared" si="109"/>
        <v>0</v>
      </c>
      <c r="V810" s="54">
        <f t="shared" si="110"/>
        <v>0</v>
      </c>
      <c r="W810" s="54">
        <f t="shared" si="111"/>
        <v>0</v>
      </c>
    </row>
    <row r="811" spans="1:23" hidden="1" x14ac:dyDescent="0.25">
      <c r="A811" s="52" t="str">
        <f t="shared" si="108"/>
        <v xml:space="preserve"> - коммунальные расходы (без ЖБО)</v>
      </c>
      <c r="B811" s="52" t="str">
        <f t="shared" si="108"/>
        <v>244</v>
      </c>
      <c r="C811" s="52" t="str">
        <f t="shared" si="108"/>
        <v>223</v>
      </c>
      <c r="D811" s="53"/>
      <c r="E811" s="54"/>
      <c r="F811" s="54"/>
      <c r="G811" s="54"/>
      <c r="H811" s="56"/>
      <c r="I811" s="56"/>
      <c r="R811" s="54"/>
      <c r="S811" s="54"/>
      <c r="T811" s="54"/>
      <c r="U811" s="54">
        <f t="shared" si="109"/>
        <v>0</v>
      </c>
      <c r="V811" s="54">
        <f t="shared" si="110"/>
        <v>0</v>
      </c>
      <c r="W811" s="54">
        <f t="shared" si="111"/>
        <v>0</v>
      </c>
    </row>
    <row r="812" spans="1:23" hidden="1" x14ac:dyDescent="0.25">
      <c r="A812" s="52" t="str">
        <f t="shared" si="108"/>
        <v xml:space="preserve"> - коммунальные расходы (без ЖБО)</v>
      </c>
      <c r="B812" s="52" t="str">
        <f t="shared" si="108"/>
        <v>247</v>
      </c>
      <c r="C812" s="52" t="str">
        <f t="shared" si="108"/>
        <v>223</v>
      </c>
      <c r="D812" s="53"/>
      <c r="E812" s="54"/>
      <c r="F812" s="54"/>
      <c r="G812" s="54"/>
      <c r="H812" s="56"/>
      <c r="I812" s="56"/>
      <c r="R812" s="54"/>
      <c r="S812" s="54"/>
      <c r="T812" s="54"/>
      <c r="U812" s="54">
        <f t="shared" si="109"/>
        <v>0</v>
      </c>
      <c r="V812" s="54">
        <f t="shared" si="110"/>
        <v>0</v>
      </c>
      <c r="W812" s="54">
        <f t="shared" si="111"/>
        <v>0</v>
      </c>
    </row>
    <row r="813" spans="1:23" hidden="1" x14ac:dyDescent="0.25">
      <c r="A813" s="52" t="str">
        <f t="shared" si="108"/>
        <v xml:space="preserve">    - ЖБО </v>
      </c>
      <c r="B813" s="52" t="str">
        <f t="shared" si="108"/>
        <v>244</v>
      </c>
      <c r="C813" s="52" t="str">
        <f t="shared" si="108"/>
        <v>223</v>
      </c>
      <c r="D813" s="53"/>
      <c r="E813" s="54"/>
      <c r="F813" s="54"/>
      <c r="G813" s="54"/>
      <c r="H813" s="58"/>
      <c r="I813" s="57"/>
      <c r="R813" s="54"/>
      <c r="S813" s="54"/>
      <c r="T813" s="54"/>
      <c r="U813" s="54">
        <f t="shared" si="109"/>
        <v>0</v>
      </c>
      <c r="V813" s="54">
        <f t="shared" si="110"/>
        <v>0</v>
      </c>
      <c r="W813" s="54">
        <f t="shared" si="111"/>
        <v>0</v>
      </c>
    </row>
    <row r="814" spans="1:23" s="58" customFormat="1" hidden="1" x14ac:dyDescent="0.25">
      <c r="A814" s="52" t="str">
        <f t="shared" si="108"/>
        <v xml:space="preserve"> - арендная плата </v>
      </c>
      <c r="B814" s="52" t="str">
        <f t="shared" si="108"/>
        <v>244</v>
      </c>
      <c r="C814" s="52" t="str">
        <f t="shared" si="108"/>
        <v>224</v>
      </c>
      <c r="D814" s="53"/>
      <c r="E814" s="54"/>
      <c r="F814" s="54"/>
      <c r="G814" s="54"/>
      <c r="H814" s="57"/>
      <c r="I814" s="57"/>
      <c r="R814" s="54"/>
      <c r="S814" s="54"/>
      <c r="T814" s="54"/>
      <c r="U814" s="54">
        <f t="shared" si="109"/>
        <v>0</v>
      </c>
      <c r="V814" s="54">
        <f t="shared" si="110"/>
        <v>0</v>
      </c>
      <c r="W814" s="54">
        <f t="shared" si="111"/>
        <v>0</v>
      </c>
    </row>
    <row r="815" spans="1:23" s="45" customFormat="1" hidden="1" x14ac:dyDescent="0.25">
      <c r="A815" s="52" t="str">
        <f t="shared" si="108"/>
        <v xml:space="preserve"> - услуги по содержанию имущества, всего:</v>
      </c>
      <c r="B815" s="52" t="str">
        <f t="shared" si="108"/>
        <v>244</v>
      </c>
      <c r="C815" s="52" t="str">
        <f t="shared" si="108"/>
        <v>225</v>
      </c>
      <c r="D815" s="104"/>
      <c r="E815" s="62">
        <f>SUM(E816:E838)</f>
        <v>0</v>
      </c>
      <c r="F815" s="62">
        <f>SUM(F816:F838)</f>
        <v>0</v>
      </c>
      <c r="G815" s="62">
        <f>SUM(G816:G838)</f>
        <v>0</v>
      </c>
      <c r="H815" s="63"/>
      <c r="I815" s="63"/>
      <c r="R815" s="62"/>
      <c r="S815" s="62"/>
      <c r="T815" s="62"/>
      <c r="U815" s="62">
        <f t="shared" si="109"/>
        <v>0</v>
      </c>
      <c r="V815" s="62">
        <f t="shared" si="110"/>
        <v>0</v>
      </c>
      <c r="W815" s="62">
        <f t="shared" si="111"/>
        <v>0</v>
      </c>
    </row>
    <row r="816" spans="1:23" ht="41.4" hidden="1" x14ac:dyDescent="0.25">
      <c r="A816" s="52" t="str">
        <f t="shared" si="108"/>
        <v xml:space="preserve">   в том числе:
    - тек.ремонт (отопление, водопровод, электросетей)</v>
      </c>
      <c r="B816" s="52" t="str">
        <f t="shared" si="108"/>
        <v>244</v>
      </c>
      <c r="C816" s="52" t="str">
        <f t="shared" si="108"/>
        <v>225</v>
      </c>
      <c r="D816" s="53"/>
      <c r="E816" s="54"/>
      <c r="F816" s="54"/>
      <c r="G816" s="54"/>
      <c r="H816" s="56"/>
      <c r="I816" s="56"/>
      <c r="R816" s="54"/>
      <c r="S816" s="54"/>
      <c r="T816" s="54"/>
      <c r="U816" s="54">
        <f t="shared" si="109"/>
        <v>0</v>
      </c>
      <c r="V816" s="54">
        <f t="shared" si="110"/>
        <v>0</v>
      </c>
      <c r="W816" s="54">
        <f t="shared" si="111"/>
        <v>0</v>
      </c>
    </row>
    <row r="817" spans="1:23" s="66" customFormat="1" hidden="1" x14ac:dyDescent="0.25">
      <c r="A817" s="52" t="str">
        <f t="shared" si="108"/>
        <v xml:space="preserve">    - очистка кровли от снега</v>
      </c>
      <c r="B817" s="52" t="str">
        <f t="shared" si="108"/>
        <v>244</v>
      </c>
      <c r="C817" s="52" t="str">
        <f t="shared" si="108"/>
        <v>225</v>
      </c>
      <c r="D817" s="53"/>
      <c r="E817" s="54"/>
      <c r="F817" s="54"/>
      <c r="G817" s="54"/>
      <c r="I817" s="67"/>
      <c r="R817" s="54"/>
      <c r="S817" s="54"/>
      <c r="T817" s="54"/>
      <c r="U817" s="54">
        <f t="shared" si="109"/>
        <v>0</v>
      </c>
      <c r="V817" s="54">
        <f t="shared" si="110"/>
        <v>0</v>
      </c>
      <c r="W817" s="54">
        <f t="shared" si="111"/>
        <v>0</v>
      </c>
    </row>
    <row r="818" spans="1:23" ht="27.6" hidden="1" x14ac:dyDescent="0.25">
      <c r="A818" s="52" t="str">
        <f t="shared" si="108"/>
        <v xml:space="preserve">    - текущий ремонт кровли, крыльца, заделка швов, асфальтирование территории</v>
      </c>
      <c r="B818" s="52" t="str">
        <f t="shared" si="108"/>
        <v>244</v>
      </c>
      <c r="C818" s="52" t="str">
        <f t="shared" si="108"/>
        <v>225</v>
      </c>
      <c r="D818" s="53"/>
      <c r="E818" s="54"/>
      <c r="F818" s="54"/>
      <c r="G818" s="54"/>
      <c r="H818" s="56"/>
      <c r="I818" s="56"/>
      <c r="R818" s="54"/>
      <c r="S818" s="54"/>
      <c r="T818" s="54"/>
      <c r="U818" s="54">
        <f t="shared" si="109"/>
        <v>0</v>
      </c>
      <c r="V818" s="54">
        <f t="shared" si="110"/>
        <v>0</v>
      </c>
      <c r="W818" s="54">
        <f t="shared" si="111"/>
        <v>0</v>
      </c>
    </row>
    <row r="819" spans="1:23" hidden="1" x14ac:dyDescent="0.25">
      <c r="A819" s="52" t="str">
        <f t="shared" si="108"/>
        <v xml:space="preserve">    - аварийно-техническое обслуживание зданий</v>
      </c>
      <c r="B819" s="52" t="str">
        <f t="shared" si="108"/>
        <v>244</v>
      </c>
      <c r="C819" s="52" t="str">
        <f t="shared" si="108"/>
        <v>225</v>
      </c>
      <c r="D819" s="53"/>
      <c r="E819" s="54"/>
      <c r="F819" s="54"/>
      <c r="G819" s="54"/>
      <c r="H819" s="56"/>
      <c r="I819" s="56"/>
      <c r="R819" s="54"/>
      <c r="S819" s="54"/>
      <c r="T819" s="54"/>
      <c r="U819" s="54">
        <f t="shared" si="109"/>
        <v>0</v>
      </c>
      <c r="V819" s="54">
        <f t="shared" si="110"/>
        <v>0</v>
      </c>
      <c r="W819" s="54">
        <f t="shared" si="111"/>
        <v>0</v>
      </c>
    </row>
    <row r="820" spans="1:23" ht="27.6" hidden="1" x14ac:dyDescent="0.25">
      <c r="A820" s="52" t="str">
        <f t="shared" si="108"/>
        <v xml:space="preserve">    - содержание мест общего пользования (ПЖРЭТ), взносы на кап.ремонт</v>
      </c>
      <c r="B820" s="52" t="str">
        <f t="shared" si="108"/>
        <v>244</v>
      </c>
      <c r="C820" s="52" t="str">
        <f t="shared" si="108"/>
        <v>225</v>
      </c>
      <c r="D820" s="53"/>
      <c r="E820" s="54"/>
      <c r="F820" s="54"/>
      <c r="G820" s="54"/>
      <c r="I820" s="56"/>
      <c r="R820" s="54"/>
      <c r="S820" s="54"/>
      <c r="T820" s="54"/>
      <c r="U820" s="54">
        <f t="shared" si="109"/>
        <v>0</v>
      </c>
      <c r="V820" s="54">
        <f t="shared" si="110"/>
        <v>0</v>
      </c>
      <c r="W820" s="54">
        <f t="shared" si="111"/>
        <v>0</v>
      </c>
    </row>
    <row r="821" spans="1:23" hidden="1" x14ac:dyDescent="0.25">
      <c r="A821" s="52" t="str">
        <f t="shared" ref="A821:C840" si="112">A101</f>
        <v xml:space="preserve">    - наружное освещение</v>
      </c>
      <c r="B821" s="52" t="str">
        <f t="shared" si="112"/>
        <v>244</v>
      </c>
      <c r="C821" s="52" t="str">
        <f t="shared" si="112"/>
        <v>225</v>
      </c>
      <c r="D821" s="53"/>
      <c r="E821" s="54"/>
      <c r="F821" s="54"/>
      <c r="G821" s="54"/>
      <c r="I821" s="56"/>
      <c r="R821" s="54"/>
      <c r="S821" s="54"/>
      <c r="T821" s="54"/>
      <c r="U821" s="54">
        <f t="shared" si="109"/>
        <v>0</v>
      </c>
      <c r="V821" s="54">
        <f t="shared" si="110"/>
        <v>0</v>
      </c>
      <c r="W821" s="54">
        <f t="shared" si="111"/>
        <v>0</v>
      </c>
    </row>
    <row r="822" spans="1:23" hidden="1" x14ac:dyDescent="0.25">
      <c r="A822" s="52" t="str">
        <f t="shared" si="112"/>
        <v xml:space="preserve">    - то приборов коммерческого учета</v>
      </c>
      <c r="B822" s="52" t="str">
        <f t="shared" si="112"/>
        <v>244</v>
      </c>
      <c r="C822" s="52" t="str">
        <f t="shared" si="112"/>
        <v>225</v>
      </c>
      <c r="D822" s="53"/>
      <c r="E822" s="54"/>
      <c r="F822" s="54"/>
      <c r="G822" s="54"/>
      <c r="I822" s="56"/>
      <c r="R822" s="54"/>
      <c r="S822" s="54"/>
      <c r="T822" s="54"/>
      <c r="U822" s="54">
        <f t="shared" si="109"/>
        <v>0</v>
      </c>
      <c r="V822" s="54">
        <f t="shared" si="110"/>
        <v>0</v>
      </c>
      <c r="W822" s="54">
        <f t="shared" si="111"/>
        <v>0</v>
      </c>
    </row>
    <row r="823" spans="1:23" hidden="1" x14ac:dyDescent="0.25">
      <c r="A823" s="52" t="str">
        <f t="shared" si="112"/>
        <v xml:space="preserve">    - дезинфекция</v>
      </c>
      <c r="B823" s="52" t="str">
        <f t="shared" si="112"/>
        <v>244</v>
      </c>
      <c r="C823" s="52" t="str">
        <f t="shared" si="112"/>
        <v>225</v>
      </c>
      <c r="D823" s="53"/>
      <c r="E823" s="54"/>
      <c r="F823" s="54"/>
      <c r="G823" s="54"/>
      <c r="I823" s="56"/>
      <c r="R823" s="54"/>
      <c r="S823" s="54"/>
      <c r="T823" s="54"/>
      <c r="U823" s="54">
        <f t="shared" si="109"/>
        <v>0</v>
      </c>
      <c r="V823" s="54">
        <f t="shared" si="110"/>
        <v>0</v>
      </c>
      <c r="W823" s="54">
        <f t="shared" si="111"/>
        <v>0</v>
      </c>
    </row>
    <row r="824" spans="1:23" hidden="1" x14ac:dyDescent="0.25">
      <c r="A824" s="52" t="str">
        <f t="shared" si="112"/>
        <v xml:space="preserve">    - то видеонаблюдения</v>
      </c>
      <c r="B824" s="52" t="str">
        <f t="shared" si="112"/>
        <v>244</v>
      </c>
      <c r="C824" s="52" t="str">
        <f t="shared" si="112"/>
        <v>225</v>
      </c>
      <c r="D824" s="53"/>
      <c r="E824" s="54"/>
      <c r="F824" s="54"/>
      <c r="G824" s="54"/>
      <c r="I824" s="56"/>
      <c r="R824" s="54"/>
      <c r="S824" s="54"/>
      <c r="T824" s="54"/>
      <c r="U824" s="54">
        <f t="shared" si="109"/>
        <v>0</v>
      </c>
      <c r="V824" s="54">
        <f t="shared" si="110"/>
        <v>0</v>
      </c>
      <c r="W824" s="54">
        <f t="shared" si="111"/>
        <v>0</v>
      </c>
    </row>
    <row r="825" spans="1:23" hidden="1" x14ac:dyDescent="0.25">
      <c r="A825" s="52" t="str">
        <f t="shared" si="112"/>
        <v xml:space="preserve">    - то пожарно-охранной сигнализации</v>
      </c>
      <c r="B825" s="52" t="str">
        <f t="shared" si="112"/>
        <v>244</v>
      </c>
      <c r="C825" s="52" t="str">
        <f t="shared" si="112"/>
        <v>225</v>
      </c>
      <c r="D825" s="53"/>
      <c r="E825" s="54"/>
      <c r="F825" s="54"/>
      <c r="G825" s="54"/>
      <c r="I825" s="56"/>
      <c r="R825" s="54"/>
      <c r="S825" s="54"/>
      <c r="T825" s="54"/>
      <c r="U825" s="54">
        <f t="shared" si="109"/>
        <v>0</v>
      </c>
      <c r="V825" s="54">
        <f t="shared" si="110"/>
        <v>0</v>
      </c>
      <c r="W825" s="54">
        <f t="shared" si="111"/>
        <v>0</v>
      </c>
    </row>
    <row r="826" spans="1:23" hidden="1" x14ac:dyDescent="0.25">
      <c r="A826" s="52" t="str">
        <f t="shared" si="112"/>
        <v xml:space="preserve">    - монтаж (регулировка) дверей/окон</v>
      </c>
      <c r="B826" s="52" t="str">
        <f t="shared" si="112"/>
        <v>244</v>
      </c>
      <c r="C826" s="52" t="str">
        <f t="shared" si="112"/>
        <v>225</v>
      </c>
      <c r="D826" s="53"/>
      <c r="E826" s="54"/>
      <c r="F826" s="54"/>
      <c r="G826" s="54"/>
      <c r="I826" s="56"/>
      <c r="R826" s="54"/>
      <c r="S826" s="54"/>
      <c r="T826" s="54"/>
      <c r="U826" s="54">
        <f t="shared" si="109"/>
        <v>0</v>
      </c>
      <c r="V826" s="54">
        <f t="shared" si="110"/>
        <v>0</v>
      </c>
      <c r="W826" s="54">
        <f t="shared" si="111"/>
        <v>0</v>
      </c>
    </row>
    <row r="827" spans="1:23" hidden="1" x14ac:dyDescent="0.25">
      <c r="A827" s="52" t="str">
        <f t="shared" si="112"/>
        <v xml:space="preserve">    - заправка картриджей</v>
      </c>
      <c r="B827" s="52" t="str">
        <f t="shared" si="112"/>
        <v>244</v>
      </c>
      <c r="C827" s="52" t="str">
        <f t="shared" si="112"/>
        <v>225</v>
      </c>
      <c r="D827" s="53"/>
      <c r="E827" s="54"/>
      <c r="F827" s="54"/>
      <c r="G827" s="54"/>
      <c r="I827" s="56"/>
      <c r="R827" s="54"/>
      <c r="S827" s="54"/>
      <c r="T827" s="54"/>
      <c r="U827" s="54">
        <f t="shared" si="109"/>
        <v>0</v>
      </c>
      <c r="V827" s="54">
        <f t="shared" si="110"/>
        <v>0</v>
      </c>
      <c r="W827" s="54">
        <f t="shared" si="111"/>
        <v>0</v>
      </c>
    </row>
    <row r="828" spans="1:23" ht="27.6" hidden="1" x14ac:dyDescent="0.25">
      <c r="A828" s="52" t="str">
        <f t="shared" si="112"/>
        <v xml:space="preserve">    - обслуживание кнопки тревожной сигнализации</v>
      </c>
      <c r="B828" s="52" t="str">
        <f t="shared" si="112"/>
        <v>244</v>
      </c>
      <c r="C828" s="52" t="str">
        <f t="shared" si="112"/>
        <v>225</v>
      </c>
      <c r="D828" s="53"/>
      <c r="E828" s="54"/>
      <c r="F828" s="54"/>
      <c r="G828" s="54"/>
      <c r="I828" s="56"/>
      <c r="R828" s="54"/>
      <c r="S828" s="54"/>
      <c r="T828" s="54"/>
      <c r="U828" s="54">
        <f t="shared" si="109"/>
        <v>0</v>
      </c>
      <c r="V828" s="54">
        <f t="shared" si="110"/>
        <v>0</v>
      </c>
      <c r="W828" s="54">
        <f t="shared" si="111"/>
        <v>0</v>
      </c>
    </row>
    <row r="829" spans="1:23" hidden="1" x14ac:dyDescent="0.25">
      <c r="A829" s="52" t="str">
        <f t="shared" si="112"/>
        <v xml:space="preserve">    - то компьютерного оборудования</v>
      </c>
      <c r="B829" s="52" t="str">
        <f t="shared" si="112"/>
        <v>244</v>
      </c>
      <c r="C829" s="52" t="str">
        <f t="shared" si="112"/>
        <v>225</v>
      </c>
      <c r="D829" s="53"/>
      <c r="E829" s="54"/>
      <c r="F829" s="54"/>
      <c r="G829" s="54"/>
      <c r="I829" s="56"/>
      <c r="R829" s="54"/>
      <c r="S829" s="54"/>
      <c r="T829" s="54"/>
      <c r="U829" s="54">
        <f t="shared" si="109"/>
        <v>0</v>
      </c>
      <c r="V829" s="54">
        <f t="shared" si="110"/>
        <v>0</v>
      </c>
      <c r="W829" s="54">
        <f t="shared" si="111"/>
        <v>0</v>
      </c>
    </row>
    <row r="830" spans="1:23" hidden="1" x14ac:dyDescent="0.25">
      <c r="A830" s="52" t="str">
        <f t="shared" si="112"/>
        <v xml:space="preserve">    - Химчистка</v>
      </c>
      <c r="B830" s="52" t="str">
        <f t="shared" si="112"/>
        <v>244</v>
      </c>
      <c r="C830" s="52" t="str">
        <f t="shared" si="112"/>
        <v>225</v>
      </c>
      <c r="D830" s="53"/>
      <c r="E830" s="54"/>
      <c r="F830" s="54"/>
      <c r="G830" s="54"/>
      <c r="I830" s="56"/>
      <c r="R830" s="54"/>
      <c r="S830" s="54"/>
      <c r="T830" s="54"/>
      <c r="U830" s="54">
        <f t="shared" si="109"/>
        <v>0</v>
      </c>
      <c r="V830" s="54">
        <f t="shared" si="110"/>
        <v>0</v>
      </c>
      <c r="W830" s="54">
        <f t="shared" si="111"/>
        <v>0</v>
      </c>
    </row>
    <row r="831" spans="1:23" hidden="1" x14ac:dyDescent="0.25">
      <c r="A831" s="52" t="str">
        <f t="shared" si="112"/>
        <v xml:space="preserve">    - поверка средств имерения</v>
      </c>
      <c r="B831" s="52" t="str">
        <f t="shared" si="112"/>
        <v>244</v>
      </c>
      <c r="C831" s="52" t="str">
        <f t="shared" si="112"/>
        <v>225</v>
      </c>
      <c r="D831" s="53"/>
      <c r="E831" s="54"/>
      <c r="F831" s="54"/>
      <c r="G831" s="54"/>
      <c r="I831" s="56"/>
      <c r="R831" s="54"/>
      <c r="S831" s="54"/>
      <c r="T831" s="54"/>
      <c r="U831" s="54">
        <f t="shared" si="109"/>
        <v>0</v>
      </c>
      <c r="V831" s="54">
        <f t="shared" si="110"/>
        <v>0</v>
      </c>
      <c r="W831" s="54">
        <f t="shared" si="111"/>
        <v>0</v>
      </c>
    </row>
    <row r="832" spans="1:23" hidden="1" x14ac:dyDescent="0.25">
      <c r="A832" s="52" t="str">
        <f t="shared" si="112"/>
        <v xml:space="preserve">    - вывоз ТКО</v>
      </c>
      <c r="B832" s="52" t="str">
        <f t="shared" si="112"/>
        <v>244</v>
      </c>
      <c r="C832" s="52" t="str">
        <f t="shared" si="112"/>
        <v>225</v>
      </c>
      <c r="D832" s="53"/>
      <c r="E832" s="54"/>
      <c r="F832" s="54"/>
      <c r="G832" s="54"/>
      <c r="I832" s="56"/>
      <c r="R832" s="54"/>
      <c r="S832" s="54"/>
      <c r="T832" s="54"/>
      <c r="U832" s="54">
        <f t="shared" si="109"/>
        <v>0</v>
      </c>
      <c r="V832" s="54">
        <f t="shared" si="110"/>
        <v>0</v>
      </c>
      <c r="W832" s="54">
        <f t="shared" si="111"/>
        <v>0</v>
      </c>
    </row>
    <row r="833" spans="1:23" hidden="1" x14ac:dyDescent="0.25">
      <c r="A833" s="52" t="str">
        <f t="shared" si="112"/>
        <v xml:space="preserve">    - текущий ремонт оборудования</v>
      </c>
      <c r="B833" s="52" t="str">
        <f t="shared" si="112"/>
        <v>244</v>
      </c>
      <c r="C833" s="52" t="str">
        <f t="shared" si="112"/>
        <v>225</v>
      </c>
      <c r="D833" s="53"/>
      <c r="E833" s="54"/>
      <c r="F833" s="54"/>
      <c r="G833" s="54"/>
      <c r="I833" s="56"/>
      <c r="R833" s="54"/>
      <c r="S833" s="54"/>
      <c r="T833" s="54"/>
      <c r="U833" s="54">
        <f t="shared" si="109"/>
        <v>0</v>
      </c>
      <c r="V833" s="54">
        <f t="shared" si="110"/>
        <v>0</v>
      </c>
      <c r="W833" s="54">
        <f t="shared" si="111"/>
        <v>0</v>
      </c>
    </row>
    <row r="834" spans="1:23" hidden="1" x14ac:dyDescent="0.25">
      <c r="A834" s="52" t="str">
        <f t="shared" si="112"/>
        <v xml:space="preserve">    - испытание диэлектрических средств защиты</v>
      </c>
      <c r="B834" s="52" t="str">
        <f t="shared" si="112"/>
        <v>244</v>
      </c>
      <c r="C834" s="52" t="str">
        <f t="shared" si="112"/>
        <v>225</v>
      </c>
      <c r="D834" s="53"/>
      <c r="E834" s="54"/>
      <c r="F834" s="54"/>
      <c r="G834" s="54"/>
      <c r="I834" s="56"/>
      <c r="R834" s="54"/>
      <c r="S834" s="54"/>
      <c r="T834" s="54"/>
      <c r="U834" s="54">
        <f t="shared" si="109"/>
        <v>0</v>
      </c>
      <c r="V834" s="54">
        <f t="shared" si="110"/>
        <v>0</v>
      </c>
      <c r="W834" s="54">
        <f t="shared" si="111"/>
        <v>0</v>
      </c>
    </row>
    <row r="835" spans="1:23" hidden="1" x14ac:dyDescent="0.25">
      <c r="A835" s="52" t="str">
        <f t="shared" si="112"/>
        <v xml:space="preserve">    - гидравлические испытания пожарных рукавов</v>
      </c>
      <c r="B835" s="52" t="str">
        <f t="shared" si="112"/>
        <v>244</v>
      </c>
      <c r="C835" s="52" t="str">
        <f t="shared" si="112"/>
        <v>225</v>
      </c>
      <c r="D835" s="53"/>
      <c r="E835" s="54"/>
      <c r="F835" s="54"/>
      <c r="G835" s="54"/>
      <c r="I835" s="56"/>
      <c r="R835" s="54"/>
      <c r="S835" s="54"/>
      <c r="T835" s="54"/>
      <c r="U835" s="54">
        <f t="shared" si="109"/>
        <v>0</v>
      </c>
      <c r="V835" s="54">
        <f t="shared" si="110"/>
        <v>0</v>
      </c>
      <c r="W835" s="54">
        <f t="shared" si="111"/>
        <v>0</v>
      </c>
    </row>
    <row r="836" spans="1:23" hidden="1" x14ac:dyDescent="0.25">
      <c r="A836" s="52" t="str">
        <f t="shared" si="112"/>
        <v xml:space="preserve">    - монтаж уличного освещения</v>
      </c>
      <c r="B836" s="52" t="str">
        <f t="shared" si="112"/>
        <v>244</v>
      </c>
      <c r="C836" s="52" t="str">
        <f t="shared" si="112"/>
        <v>225</v>
      </c>
      <c r="D836" s="53"/>
      <c r="E836" s="54"/>
      <c r="F836" s="54"/>
      <c r="G836" s="54"/>
      <c r="I836" s="56"/>
      <c r="R836" s="54"/>
      <c r="S836" s="54"/>
      <c r="T836" s="54"/>
      <c r="U836" s="54">
        <f t="shared" si="109"/>
        <v>0</v>
      </c>
      <c r="V836" s="54">
        <f t="shared" si="110"/>
        <v>0</v>
      </c>
      <c r="W836" s="54">
        <f t="shared" si="111"/>
        <v>0</v>
      </c>
    </row>
    <row r="837" spans="1:23" hidden="1" x14ac:dyDescent="0.25">
      <c r="A837" s="52" t="str">
        <f t="shared" si="112"/>
        <v xml:space="preserve">    - противоклещевая обработка</v>
      </c>
      <c r="B837" s="52" t="str">
        <f t="shared" si="112"/>
        <v>244</v>
      </c>
      <c r="C837" s="52" t="str">
        <f t="shared" si="112"/>
        <v>225</v>
      </c>
      <c r="D837" s="53"/>
      <c r="E837" s="54"/>
      <c r="F837" s="54"/>
      <c r="G837" s="54"/>
      <c r="I837" s="56"/>
      <c r="R837" s="54"/>
      <c r="S837" s="54"/>
      <c r="T837" s="54"/>
      <c r="U837" s="54">
        <f t="shared" si="109"/>
        <v>0</v>
      </c>
      <c r="V837" s="54">
        <f t="shared" si="110"/>
        <v>0</v>
      </c>
      <c r="W837" s="54">
        <f t="shared" si="111"/>
        <v>0</v>
      </c>
    </row>
    <row r="838" spans="1:23" hidden="1" x14ac:dyDescent="0.25">
      <c r="A838" s="52" t="str">
        <f t="shared" si="112"/>
        <v xml:space="preserve">    - сервисное обслуживание приборов тепла</v>
      </c>
      <c r="B838" s="52" t="str">
        <f t="shared" si="112"/>
        <v>244</v>
      </c>
      <c r="C838" s="52" t="str">
        <f t="shared" si="112"/>
        <v>225</v>
      </c>
      <c r="D838" s="53"/>
      <c r="E838" s="54"/>
      <c r="F838" s="54"/>
      <c r="G838" s="54"/>
      <c r="I838" s="56"/>
      <c r="R838" s="54"/>
      <c r="S838" s="54"/>
      <c r="T838" s="54"/>
      <c r="U838" s="54">
        <f t="shared" ref="U838:U862" si="113">E838-R838</f>
        <v>0</v>
      </c>
      <c r="V838" s="54">
        <f t="shared" ref="V838:V862" si="114">F838-S838</f>
        <v>0</v>
      </c>
      <c r="W838" s="54">
        <f t="shared" ref="W838:W862" si="115">G838-T838</f>
        <v>0</v>
      </c>
    </row>
    <row r="839" spans="1:23" s="45" customFormat="1" x14ac:dyDescent="0.25">
      <c r="A839" s="52" t="str">
        <f t="shared" si="112"/>
        <v xml:space="preserve"> - прочие работы, услуги, всего:</v>
      </c>
      <c r="B839" s="52" t="str">
        <f t="shared" si="112"/>
        <v>244</v>
      </c>
      <c r="C839" s="52" t="str">
        <f t="shared" si="112"/>
        <v>226</v>
      </c>
      <c r="D839" s="104"/>
      <c r="E839" s="62">
        <f>SUM(E840:E855)</f>
        <v>50381</v>
      </c>
      <c r="F839" s="62">
        <f>SUM(F840:F855)</f>
        <v>50381</v>
      </c>
      <c r="G839" s="62">
        <f>SUM(G840:G855)</f>
        <v>50381</v>
      </c>
      <c r="H839" s="63"/>
      <c r="I839" s="63"/>
      <c r="R839" s="62"/>
      <c r="S839" s="62"/>
      <c r="T839" s="62"/>
      <c r="U839" s="62">
        <f t="shared" si="113"/>
        <v>50381</v>
      </c>
      <c r="V839" s="62">
        <f t="shared" si="114"/>
        <v>50381</v>
      </c>
      <c r="W839" s="62">
        <f t="shared" si="115"/>
        <v>50381</v>
      </c>
    </row>
    <row r="840" spans="1:23" s="58" customFormat="1" hidden="1" x14ac:dyDescent="0.25">
      <c r="A840" s="52" t="str">
        <f t="shared" si="112"/>
        <v xml:space="preserve">    - специальная оценка условий труда</v>
      </c>
      <c r="B840" s="52" t="str">
        <f t="shared" si="112"/>
        <v>244</v>
      </c>
      <c r="C840" s="52" t="str">
        <f t="shared" si="112"/>
        <v>226</v>
      </c>
      <c r="D840" s="53"/>
      <c r="E840" s="54"/>
      <c r="F840" s="54"/>
      <c r="G840" s="54"/>
      <c r="H840" s="49"/>
      <c r="I840" s="56"/>
      <c r="R840" s="54"/>
      <c r="S840" s="54"/>
      <c r="T840" s="54"/>
      <c r="U840" s="54">
        <f t="shared" si="113"/>
        <v>0</v>
      </c>
      <c r="V840" s="54">
        <f t="shared" si="114"/>
        <v>0</v>
      </c>
      <c r="W840" s="54">
        <f t="shared" si="115"/>
        <v>0</v>
      </c>
    </row>
    <row r="841" spans="1:23" s="58" customFormat="1" ht="27.6" hidden="1" x14ac:dyDescent="0.25">
      <c r="A841" s="52" t="str">
        <f t="shared" ref="A841:C860" si="116">A121</f>
        <v xml:space="preserve">    - услуги автотранспорта (доставка строительных материалов, вывоз веток и пр.)</v>
      </c>
      <c r="B841" s="52" t="str">
        <f t="shared" si="116"/>
        <v>244</v>
      </c>
      <c r="C841" s="52" t="str">
        <f t="shared" si="116"/>
        <v>226</v>
      </c>
      <c r="D841" s="53"/>
      <c r="E841" s="54"/>
      <c r="F841" s="54"/>
      <c r="G841" s="54"/>
      <c r="H841" s="49"/>
      <c r="I841" s="56"/>
      <c r="R841" s="54"/>
      <c r="S841" s="54"/>
      <c r="T841" s="54"/>
      <c r="U841" s="54">
        <f t="shared" si="113"/>
        <v>0</v>
      </c>
      <c r="V841" s="54">
        <f t="shared" si="114"/>
        <v>0</v>
      </c>
      <c r="W841" s="54">
        <f t="shared" si="115"/>
        <v>0</v>
      </c>
    </row>
    <row r="842" spans="1:23" s="58" customFormat="1" hidden="1" x14ac:dyDescent="0.25">
      <c r="A842" s="52" t="str">
        <f t="shared" si="116"/>
        <v xml:space="preserve">    - ПО (СБИС)</v>
      </c>
      <c r="B842" s="52" t="str">
        <f t="shared" si="116"/>
        <v>244</v>
      </c>
      <c r="C842" s="52" t="str">
        <f t="shared" si="116"/>
        <v>226</v>
      </c>
      <c r="D842" s="53"/>
      <c r="E842" s="54"/>
      <c r="F842" s="54"/>
      <c r="G842" s="54"/>
      <c r="H842" s="49"/>
      <c r="I842" s="56"/>
      <c r="R842" s="54"/>
      <c r="S842" s="54"/>
      <c r="T842" s="54"/>
      <c r="U842" s="54">
        <f t="shared" si="113"/>
        <v>0</v>
      </c>
      <c r="V842" s="54">
        <f t="shared" si="114"/>
        <v>0</v>
      </c>
      <c r="W842" s="54">
        <f t="shared" si="115"/>
        <v>0</v>
      </c>
    </row>
    <row r="843" spans="1:23" s="58" customFormat="1" x14ac:dyDescent="0.25">
      <c r="A843" s="52" t="str">
        <f t="shared" si="116"/>
        <v xml:space="preserve">    - организация питания</v>
      </c>
      <c r="B843" s="52" t="str">
        <f t="shared" si="116"/>
        <v>244</v>
      </c>
      <c r="C843" s="52" t="str">
        <f t="shared" si="116"/>
        <v>226</v>
      </c>
      <c r="D843" s="53"/>
      <c r="E843" s="54">
        <v>7200</v>
      </c>
      <c r="F843" s="54"/>
      <c r="G843" s="54"/>
      <c r="H843" s="49"/>
      <c r="I843" s="56"/>
      <c r="R843" s="54"/>
      <c r="S843" s="54"/>
      <c r="T843" s="54"/>
      <c r="U843" s="54">
        <f t="shared" si="113"/>
        <v>7200</v>
      </c>
      <c r="V843" s="54">
        <f t="shared" si="114"/>
        <v>0</v>
      </c>
      <c r="W843" s="54">
        <f t="shared" si="115"/>
        <v>0</v>
      </c>
    </row>
    <row r="844" spans="1:23" s="58" customFormat="1" ht="27.6" x14ac:dyDescent="0.25">
      <c r="A844" s="52" t="str">
        <f t="shared" si="116"/>
        <v xml:space="preserve">    - расчет проектно-сметной документации (ремонт крыльца, речевое оповещение)</v>
      </c>
      <c r="B844" s="52" t="str">
        <f t="shared" si="116"/>
        <v>244</v>
      </c>
      <c r="C844" s="52" t="str">
        <f t="shared" si="116"/>
        <v>226</v>
      </c>
      <c r="D844" s="53"/>
      <c r="E844" s="54"/>
      <c r="F844" s="54"/>
      <c r="G844" s="54"/>
      <c r="H844" s="49"/>
      <c r="I844" s="56"/>
      <c r="R844" s="54"/>
      <c r="S844" s="54"/>
      <c r="T844" s="54"/>
      <c r="U844" s="54">
        <f t="shared" si="113"/>
        <v>0</v>
      </c>
      <c r="V844" s="54">
        <f t="shared" si="114"/>
        <v>0</v>
      </c>
      <c r="W844" s="54">
        <f t="shared" si="115"/>
        <v>0</v>
      </c>
    </row>
    <row r="845" spans="1:23" s="58" customFormat="1" hidden="1" x14ac:dyDescent="0.25">
      <c r="A845" s="52" t="str">
        <f t="shared" si="116"/>
        <v xml:space="preserve">    - оплата услуг бухгалтерии</v>
      </c>
      <c r="B845" s="52" t="str">
        <f t="shared" si="116"/>
        <v>244</v>
      </c>
      <c r="C845" s="52" t="str">
        <f t="shared" si="116"/>
        <v>226</v>
      </c>
      <c r="D845" s="53"/>
      <c r="E845" s="54"/>
      <c r="F845" s="54"/>
      <c r="G845" s="54"/>
      <c r="H845" s="49"/>
      <c r="I845" s="56"/>
      <c r="R845" s="54"/>
      <c r="S845" s="54"/>
      <c r="T845" s="54"/>
      <c r="U845" s="54">
        <f t="shared" si="113"/>
        <v>0</v>
      </c>
      <c r="V845" s="54">
        <f t="shared" si="114"/>
        <v>0</v>
      </c>
      <c r="W845" s="54">
        <f t="shared" si="115"/>
        <v>0</v>
      </c>
    </row>
    <row r="846" spans="1:23" s="58" customFormat="1" x14ac:dyDescent="0.25">
      <c r="A846" s="52" t="str">
        <f t="shared" si="116"/>
        <v xml:space="preserve">    - услуги банка</v>
      </c>
      <c r="B846" s="52" t="str">
        <f t="shared" si="116"/>
        <v>244</v>
      </c>
      <c r="C846" s="52" t="str">
        <f t="shared" si="116"/>
        <v>226</v>
      </c>
      <c r="D846" s="53"/>
      <c r="E846" s="818">
        <f>50381-7200</f>
        <v>43181</v>
      </c>
      <c r="F846" s="818">
        <v>50381</v>
      </c>
      <c r="G846" s="818">
        <v>50381</v>
      </c>
      <c r="H846" s="49"/>
      <c r="I846" s="56"/>
      <c r="R846" s="54"/>
      <c r="S846" s="54"/>
      <c r="T846" s="54"/>
      <c r="U846" s="54">
        <f t="shared" si="113"/>
        <v>43181</v>
      </c>
      <c r="V846" s="54">
        <f t="shared" si="114"/>
        <v>50381</v>
      </c>
      <c r="W846" s="54">
        <f t="shared" si="115"/>
        <v>50381</v>
      </c>
    </row>
    <row r="847" spans="1:23" s="58" customFormat="1" hidden="1" x14ac:dyDescent="0.25">
      <c r="A847" s="52" t="str">
        <f t="shared" si="116"/>
        <v xml:space="preserve">    - обслуживание компьютерных программ</v>
      </c>
      <c r="B847" s="52" t="str">
        <f t="shared" si="116"/>
        <v>244</v>
      </c>
      <c r="C847" s="52" t="str">
        <f t="shared" si="116"/>
        <v>226</v>
      </c>
      <c r="D847" s="53"/>
      <c r="E847" s="54"/>
      <c r="F847" s="54"/>
      <c r="G847" s="54"/>
      <c r="H847" s="49"/>
      <c r="I847" s="56"/>
      <c r="R847" s="54"/>
      <c r="S847" s="54"/>
      <c r="T847" s="54"/>
      <c r="U847" s="54">
        <f t="shared" si="113"/>
        <v>0</v>
      </c>
      <c r="V847" s="54">
        <f t="shared" si="114"/>
        <v>0</v>
      </c>
      <c r="W847" s="54">
        <f t="shared" si="115"/>
        <v>0</v>
      </c>
    </row>
    <row r="848" spans="1:23" hidden="1" x14ac:dyDescent="0.25">
      <c r="A848" s="52" t="str">
        <f t="shared" si="116"/>
        <v xml:space="preserve">    - установка сигнализации</v>
      </c>
      <c r="B848" s="52" t="str">
        <f t="shared" si="116"/>
        <v>244</v>
      </c>
      <c r="C848" s="52" t="str">
        <f t="shared" si="116"/>
        <v>226</v>
      </c>
      <c r="D848" s="53"/>
      <c r="E848" s="54"/>
      <c r="F848" s="54"/>
      <c r="G848" s="54"/>
      <c r="I848" s="56"/>
      <c r="R848" s="54"/>
      <c r="S848" s="54"/>
      <c r="T848" s="54"/>
      <c r="U848" s="54">
        <f t="shared" si="113"/>
        <v>0</v>
      </c>
      <c r="V848" s="54">
        <f t="shared" si="114"/>
        <v>0</v>
      </c>
      <c r="W848" s="54">
        <f t="shared" si="115"/>
        <v>0</v>
      </c>
    </row>
    <row r="849" spans="1:23" hidden="1" x14ac:dyDescent="0.25">
      <c r="A849" s="52" t="str">
        <f t="shared" si="116"/>
        <v xml:space="preserve">    - оказание консалтинговых услуг</v>
      </c>
      <c r="B849" s="52" t="str">
        <f t="shared" si="116"/>
        <v>244</v>
      </c>
      <c r="C849" s="52" t="str">
        <f t="shared" si="116"/>
        <v>226</v>
      </c>
      <c r="D849" s="53"/>
      <c r="E849" s="54"/>
      <c r="F849" s="54"/>
      <c r="G849" s="54"/>
      <c r="I849" s="56"/>
      <c r="R849" s="54"/>
      <c r="S849" s="54"/>
      <c r="T849" s="54"/>
      <c r="U849" s="54">
        <f t="shared" si="113"/>
        <v>0</v>
      </c>
      <c r="V849" s="54">
        <f t="shared" si="114"/>
        <v>0</v>
      </c>
      <c r="W849" s="54">
        <f t="shared" si="115"/>
        <v>0</v>
      </c>
    </row>
    <row r="850" spans="1:23" ht="27.6" hidden="1" x14ac:dyDescent="0.25">
      <c r="A850" s="52" t="str">
        <f t="shared" si="116"/>
        <v xml:space="preserve">    - монтаж решетчатой металлической двери в тепловом узле</v>
      </c>
      <c r="B850" s="52" t="str">
        <f t="shared" si="116"/>
        <v>244</v>
      </c>
      <c r="C850" s="52" t="str">
        <f t="shared" si="116"/>
        <v>226</v>
      </c>
      <c r="D850" s="53"/>
      <c r="E850" s="54"/>
      <c r="F850" s="54"/>
      <c r="G850" s="54"/>
      <c r="I850" s="56"/>
      <c r="R850" s="54"/>
      <c r="S850" s="54"/>
      <c r="T850" s="54"/>
      <c r="U850" s="54">
        <f t="shared" si="113"/>
        <v>0</v>
      </c>
      <c r="V850" s="54">
        <f t="shared" si="114"/>
        <v>0</v>
      </c>
      <c r="W850" s="54">
        <f t="shared" si="115"/>
        <v>0</v>
      </c>
    </row>
    <row r="851" spans="1:23" hidden="1" x14ac:dyDescent="0.25">
      <c r="A851" s="52" t="str">
        <f t="shared" si="116"/>
        <v xml:space="preserve">    - мониторинг охранно-пожарной сигнализации</v>
      </c>
      <c r="B851" s="52" t="str">
        <f t="shared" si="116"/>
        <v>244</v>
      </c>
      <c r="C851" s="52" t="str">
        <f t="shared" si="116"/>
        <v>226</v>
      </c>
      <c r="D851" s="53"/>
      <c r="E851" s="54"/>
      <c r="F851" s="54"/>
      <c r="G851" s="54"/>
      <c r="I851" s="56"/>
      <c r="R851" s="54"/>
      <c r="S851" s="54"/>
      <c r="T851" s="54"/>
      <c r="U851" s="54">
        <f t="shared" si="113"/>
        <v>0</v>
      </c>
      <c r="V851" s="54">
        <f t="shared" si="114"/>
        <v>0</v>
      </c>
      <c r="W851" s="54">
        <f t="shared" si="115"/>
        <v>0</v>
      </c>
    </row>
    <row r="852" spans="1:23" hidden="1" x14ac:dyDescent="0.25">
      <c r="A852" s="52" t="str">
        <f t="shared" si="116"/>
        <v xml:space="preserve">    - переплет документов</v>
      </c>
      <c r="B852" s="52" t="str">
        <f t="shared" si="116"/>
        <v>244</v>
      </c>
      <c r="C852" s="52" t="str">
        <f t="shared" si="116"/>
        <v>226</v>
      </c>
      <c r="D852" s="53"/>
      <c r="E852" s="54"/>
      <c r="F852" s="54"/>
      <c r="G852" s="54"/>
      <c r="I852" s="56"/>
      <c r="R852" s="54"/>
      <c r="S852" s="54"/>
      <c r="T852" s="54"/>
      <c r="U852" s="54">
        <f t="shared" si="113"/>
        <v>0</v>
      </c>
      <c r="V852" s="54">
        <f t="shared" si="114"/>
        <v>0</v>
      </c>
      <c r="W852" s="54">
        <f t="shared" si="115"/>
        <v>0</v>
      </c>
    </row>
    <row r="853" spans="1:23" hidden="1" x14ac:dyDescent="0.25">
      <c r="A853" s="52" t="str">
        <f t="shared" si="116"/>
        <v xml:space="preserve">    - вневедомственная охрана</v>
      </c>
      <c r="B853" s="52" t="str">
        <f t="shared" si="116"/>
        <v>244</v>
      </c>
      <c r="C853" s="52" t="str">
        <f t="shared" si="116"/>
        <v>226</v>
      </c>
      <c r="D853" s="53"/>
      <c r="E853" s="54"/>
      <c r="F853" s="54"/>
      <c r="G853" s="54"/>
      <c r="I853" s="56"/>
      <c r="R853" s="54"/>
      <c r="S853" s="54"/>
      <c r="T853" s="54"/>
      <c r="U853" s="54">
        <f t="shared" si="113"/>
        <v>0</v>
      </c>
      <c r="V853" s="54">
        <f t="shared" si="114"/>
        <v>0</v>
      </c>
      <c r="W853" s="54">
        <f t="shared" si="115"/>
        <v>0</v>
      </c>
    </row>
    <row r="854" spans="1:23" hidden="1" x14ac:dyDescent="0.25">
      <c r="A854" s="52" t="str">
        <f t="shared" si="116"/>
        <v xml:space="preserve">    - лицензированная охрана</v>
      </c>
      <c r="B854" s="52" t="str">
        <f t="shared" si="116"/>
        <v>244</v>
      </c>
      <c r="C854" s="52" t="str">
        <f t="shared" si="116"/>
        <v>226</v>
      </c>
      <c r="D854" s="53"/>
      <c r="E854" s="54"/>
      <c r="F854" s="54"/>
      <c r="G854" s="54"/>
      <c r="I854" s="56"/>
      <c r="R854" s="54"/>
      <c r="S854" s="54"/>
      <c r="T854" s="54"/>
      <c r="U854" s="54">
        <f t="shared" si="113"/>
        <v>0</v>
      </c>
      <c r="V854" s="54">
        <f t="shared" si="114"/>
        <v>0</v>
      </c>
      <c r="W854" s="54">
        <f t="shared" si="115"/>
        <v>0</v>
      </c>
    </row>
    <row r="855" spans="1:23" hidden="1" x14ac:dyDescent="0.25">
      <c r="A855" s="52" t="str">
        <f t="shared" si="116"/>
        <v xml:space="preserve">    - курсы повышения квалификации</v>
      </c>
      <c r="B855" s="52" t="str">
        <f t="shared" si="116"/>
        <v>244</v>
      </c>
      <c r="C855" s="52" t="str">
        <f t="shared" si="116"/>
        <v>226</v>
      </c>
      <c r="D855" s="53"/>
      <c r="E855" s="54"/>
      <c r="F855" s="54"/>
      <c r="G855" s="54"/>
      <c r="I855" s="56"/>
      <c r="R855" s="54"/>
      <c r="S855" s="54"/>
      <c r="T855" s="54"/>
      <c r="U855" s="54">
        <f t="shared" si="113"/>
        <v>0</v>
      </c>
      <c r="V855" s="54">
        <f t="shared" si="114"/>
        <v>0</v>
      </c>
      <c r="W855" s="54">
        <f t="shared" si="115"/>
        <v>0</v>
      </c>
    </row>
    <row r="856" spans="1:23" hidden="1" x14ac:dyDescent="0.25">
      <c r="A856" s="52" t="str">
        <f t="shared" si="116"/>
        <v xml:space="preserve">    - монтаж охранно-пожарной сигнализации</v>
      </c>
      <c r="B856" s="52" t="str">
        <f t="shared" si="116"/>
        <v>244</v>
      </c>
      <c r="C856" s="52" t="str">
        <f t="shared" si="116"/>
        <v>228</v>
      </c>
      <c r="D856" s="53"/>
      <c r="E856" s="54"/>
      <c r="F856" s="54"/>
      <c r="G856" s="54"/>
      <c r="I856" s="56"/>
      <c r="R856" s="54"/>
      <c r="S856" s="54"/>
      <c r="T856" s="54"/>
      <c r="U856" s="54">
        <f t="shared" si="113"/>
        <v>0</v>
      </c>
      <c r="V856" s="54">
        <f t="shared" si="114"/>
        <v>0</v>
      </c>
      <c r="W856" s="54">
        <f t="shared" si="115"/>
        <v>0</v>
      </c>
    </row>
    <row r="857" spans="1:23" ht="27.6" hidden="1" x14ac:dyDescent="0.25">
      <c r="A857" s="52" t="str">
        <f t="shared" si="116"/>
        <v xml:space="preserve"> - выплаты ув.сотрудникам и их родственникам (3 дн.б/л, МП)</v>
      </c>
      <c r="B857" s="52" t="str">
        <f t="shared" si="116"/>
        <v>321</v>
      </c>
      <c r="C857" s="52" t="str">
        <f t="shared" si="116"/>
        <v>264</v>
      </c>
      <c r="D857" s="60" t="s">
        <v>37</v>
      </c>
      <c r="E857" s="54"/>
      <c r="F857" s="54"/>
      <c r="G857" s="54"/>
      <c r="I857" s="56"/>
      <c r="R857" s="54"/>
      <c r="S857" s="54"/>
      <c r="T857" s="54"/>
      <c r="U857" s="54">
        <f t="shared" si="113"/>
        <v>0</v>
      </c>
      <c r="V857" s="54">
        <f t="shared" si="114"/>
        <v>0</v>
      </c>
      <c r="W857" s="54">
        <f t="shared" si="115"/>
        <v>0</v>
      </c>
    </row>
    <row r="858" spans="1:23" hidden="1" x14ac:dyDescent="0.25">
      <c r="A858" s="52" t="str">
        <f t="shared" si="116"/>
        <v xml:space="preserve"> - выплата МП неработающим пенсионерам</v>
      </c>
      <c r="B858" s="52" t="str">
        <f t="shared" si="116"/>
        <v>321</v>
      </c>
      <c r="C858" s="52" t="str">
        <f t="shared" si="116"/>
        <v>296</v>
      </c>
      <c r="D858" s="60" t="s">
        <v>37</v>
      </c>
      <c r="E858" s="54"/>
      <c r="F858" s="54"/>
      <c r="G858" s="54"/>
      <c r="I858" s="56"/>
      <c r="R858" s="54"/>
      <c r="S858" s="54"/>
      <c r="T858" s="54"/>
      <c r="U858" s="54">
        <f t="shared" si="113"/>
        <v>0</v>
      </c>
      <c r="V858" s="54">
        <f t="shared" si="114"/>
        <v>0</v>
      </c>
      <c r="W858" s="54">
        <f t="shared" si="115"/>
        <v>0</v>
      </c>
    </row>
    <row r="859" spans="1:23" s="58" customFormat="1" hidden="1" x14ac:dyDescent="0.25">
      <c r="A859" s="52" t="str">
        <f t="shared" si="116"/>
        <v xml:space="preserve"> - прочие налоги и сборы</v>
      </c>
      <c r="B859" s="52" t="str">
        <f t="shared" si="116"/>
        <v>852</v>
      </c>
      <c r="C859" s="52" t="str">
        <f t="shared" si="116"/>
        <v>291</v>
      </c>
      <c r="D859" s="53" t="s">
        <v>37</v>
      </c>
      <c r="E859" s="54"/>
      <c r="F859" s="54"/>
      <c r="G859" s="54"/>
      <c r="H859" s="57"/>
      <c r="I859" s="57"/>
      <c r="R859" s="54"/>
      <c r="S859" s="54"/>
      <c r="T859" s="54"/>
      <c r="U859" s="54">
        <f t="shared" si="113"/>
        <v>0</v>
      </c>
      <c r="V859" s="54">
        <f t="shared" si="114"/>
        <v>0</v>
      </c>
      <c r="W859" s="54">
        <f t="shared" si="115"/>
        <v>0</v>
      </c>
    </row>
    <row r="860" spans="1:23" s="58" customFormat="1" ht="41.4" hidden="1" x14ac:dyDescent="0.25">
      <c r="A860" s="52" t="str">
        <f t="shared" si="116"/>
        <v xml:space="preserve"> - пеня</v>
      </c>
      <c r="B860" s="52" t="str">
        <f t="shared" si="116"/>
        <v>853</v>
      </c>
      <c r="C860" s="52" t="str">
        <f t="shared" si="116"/>
        <v>292,
295,
293</v>
      </c>
      <c r="D860" s="53" t="s">
        <v>37</v>
      </c>
      <c r="E860" s="54"/>
      <c r="F860" s="54"/>
      <c r="G860" s="54"/>
      <c r="I860" s="57"/>
      <c r="R860" s="54"/>
      <c r="S860" s="54"/>
      <c r="T860" s="54"/>
      <c r="U860" s="54">
        <f t="shared" si="113"/>
        <v>0</v>
      </c>
      <c r="V860" s="54">
        <f t="shared" si="114"/>
        <v>0</v>
      </c>
      <c r="W860" s="54">
        <f t="shared" si="115"/>
        <v>0</v>
      </c>
    </row>
    <row r="861" spans="1:23" hidden="1" x14ac:dyDescent="0.25">
      <c r="A861" s="52" t="str">
        <f t="shared" ref="A861:C880" si="117">A141</f>
        <v xml:space="preserve"> - налог на имущество</v>
      </c>
      <c r="B861" s="52" t="str">
        <f t="shared" si="117"/>
        <v>851</v>
      </c>
      <c r="C861" s="52" t="str">
        <f t="shared" si="117"/>
        <v>291</v>
      </c>
      <c r="D861" s="53" t="s">
        <v>37</v>
      </c>
      <c r="E861" s="54"/>
      <c r="F861" s="54"/>
      <c r="G861" s="54"/>
      <c r="H861" s="56"/>
      <c r="I861" s="56"/>
      <c r="R861" s="54"/>
      <c r="S861" s="54"/>
      <c r="T861" s="54"/>
      <c r="U861" s="54">
        <f t="shared" si="113"/>
        <v>0</v>
      </c>
      <c r="V861" s="54">
        <f t="shared" si="114"/>
        <v>0</v>
      </c>
      <c r="W861" s="54">
        <f t="shared" si="115"/>
        <v>0</v>
      </c>
    </row>
    <row r="862" spans="1:23" ht="27.6" hidden="1" x14ac:dyDescent="0.25">
      <c r="A862" s="52" t="str">
        <f t="shared" si="117"/>
        <v xml:space="preserve"> - компенсация расходов (морального вреда) по решению суда</v>
      </c>
      <c r="B862" s="52" t="str">
        <f t="shared" si="117"/>
        <v>831</v>
      </c>
      <c r="C862" s="52" t="str">
        <f t="shared" si="117"/>
        <v>296</v>
      </c>
      <c r="D862" s="53" t="s">
        <v>37</v>
      </c>
      <c r="E862" s="54"/>
      <c r="F862" s="54"/>
      <c r="G862" s="54"/>
      <c r="H862" s="56"/>
      <c r="I862" s="56"/>
      <c r="R862" s="54"/>
      <c r="S862" s="54"/>
      <c r="T862" s="54"/>
      <c r="U862" s="54">
        <f t="shared" si="113"/>
        <v>0</v>
      </c>
      <c r="V862" s="54">
        <f t="shared" si="114"/>
        <v>0</v>
      </c>
      <c r="W862" s="54">
        <f t="shared" si="115"/>
        <v>0</v>
      </c>
    </row>
    <row r="863" spans="1:23" ht="27.6" hidden="1" x14ac:dyDescent="0.25">
      <c r="A863" s="52" t="str">
        <f t="shared" si="117"/>
        <v xml:space="preserve"> - разработка проектно-сметной документации на капитальный ремонт крыши</v>
      </c>
      <c r="B863" s="52" t="str">
        <f t="shared" si="117"/>
        <v>243</v>
      </c>
      <c r="C863" s="52" t="str">
        <f t="shared" si="117"/>
        <v>226</v>
      </c>
      <c r="D863" s="53"/>
      <c r="E863" s="54"/>
      <c r="F863" s="54"/>
      <c r="G863" s="54"/>
      <c r="H863" s="56"/>
      <c r="I863" s="56"/>
      <c r="R863" s="54"/>
      <c r="S863" s="54"/>
      <c r="T863" s="54"/>
      <c r="U863" s="54"/>
      <c r="V863" s="54"/>
      <c r="W863" s="54"/>
    </row>
    <row r="864" spans="1:23" s="118" customFormat="1" x14ac:dyDescent="0.25">
      <c r="A864" s="115" t="str">
        <f t="shared" si="117"/>
        <v xml:space="preserve"> - увеличение стоимости основных средств</v>
      </c>
      <c r="B864" s="115" t="str">
        <f t="shared" si="117"/>
        <v>244</v>
      </c>
      <c r="C864" s="115" t="str">
        <f t="shared" si="117"/>
        <v>310</v>
      </c>
      <c r="D864" s="60"/>
      <c r="E864" s="61">
        <f>SUM(E865:E873)</f>
        <v>588</v>
      </c>
      <c r="F864" s="61">
        <f>SUM(F865:F873)</f>
        <v>0</v>
      </c>
      <c r="G864" s="61">
        <f>SUM(G865:G873)</f>
        <v>0</v>
      </c>
      <c r="H864" s="117"/>
      <c r="I864" s="117"/>
      <c r="R864" s="61"/>
      <c r="S864" s="61"/>
      <c r="T864" s="61"/>
      <c r="U864" s="61">
        <f t="shared" ref="U864:U895" si="118">E864-R864</f>
        <v>588</v>
      </c>
      <c r="V864" s="61">
        <f t="shared" ref="V864:V895" si="119">F864-S864</f>
        <v>0</v>
      </c>
      <c r="W864" s="61">
        <f t="shared" ref="W864:W895" si="120">G864-T864</f>
        <v>0</v>
      </c>
    </row>
    <row r="865" spans="1:23" s="118" customFormat="1" hidden="1" x14ac:dyDescent="0.25">
      <c r="A865" s="64" t="str">
        <f t="shared" si="117"/>
        <v xml:space="preserve"> - компьютерная техника</v>
      </c>
      <c r="B865" s="64" t="str">
        <f t="shared" si="117"/>
        <v>244</v>
      </c>
      <c r="C865" s="64" t="str">
        <f t="shared" si="117"/>
        <v>310</v>
      </c>
      <c r="D865" s="119"/>
      <c r="E865" s="120"/>
      <c r="F865" s="120"/>
      <c r="G865" s="120"/>
      <c r="H865" s="117"/>
      <c r="I865" s="117"/>
      <c r="R865" s="120"/>
      <c r="S865" s="120"/>
      <c r="T865" s="120"/>
      <c r="U865" s="120">
        <f t="shared" si="118"/>
        <v>0</v>
      </c>
      <c r="V865" s="120">
        <f t="shared" si="119"/>
        <v>0</v>
      </c>
      <c r="W865" s="120">
        <f t="shared" si="120"/>
        <v>0</v>
      </c>
    </row>
    <row r="866" spans="1:23" s="118" customFormat="1" hidden="1" x14ac:dyDescent="0.25">
      <c r="A866" s="64" t="str">
        <f t="shared" si="117"/>
        <v xml:space="preserve"> - кондиционеры</v>
      </c>
      <c r="B866" s="64" t="str">
        <f t="shared" si="117"/>
        <v>244</v>
      </c>
      <c r="C866" s="64" t="str">
        <f t="shared" si="117"/>
        <v>310</v>
      </c>
      <c r="D866" s="119"/>
      <c r="E866" s="120"/>
      <c r="F866" s="120"/>
      <c r="G866" s="120"/>
      <c r="H866" s="117"/>
      <c r="I866" s="117"/>
      <c r="R866" s="120"/>
      <c r="S866" s="120"/>
      <c r="T866" s="120"/>
      <c r="U866" s="120">
        <f t="shared" si="118"/>
        <v>0</v>
      </c>
      <c r="V866" s="120">
        <f t="shared" si="119"/>
        <v>0</v>
      </c>
      <c r="W866" s="120">
        <f t="shared" si="120"/>
        <v>0</v>
      </c>
    </row>
    <row r="867" spans="1:23" s="118" customFormat="1" hidden="1" x14ac:dyDescent="0.25">
      <c r="A867" s="64" t="str">
        <f t="shared" si="117"/>
        <v xml:space="preserve"> - мебель</v>
      </c>
      <c r="B867" s="64" t="str">
        <f t="shared" si="117"/>
        <v>244</v>
      </c>
      <c r="C867" s="64" t="str">
        <f t="shared" si="117"/>
        <v>310</v>
      </c>
      <c r="D867" s="119"/>
      <c r="E867" s="120"/>
      <c r="F867" s="120"/>
      <c r="G867" s="120"/>
      <c r="H867" s="117"/>
      <c r="I867" s="117"/>
      <c r="R867" s="120"/>
      <c r="S867" s="120"/>
      <c r="T867" s="120"/>
      <c r="U867" s="120">
        <f t="shared" si="118"/>
        <v>0</v>
      </c>
      <c r="V867" s="120">
        <f t="shared" si="119"/>
        <v>0</v>
      </c>
      <c r="W867" s="120">
        <f t="shared" si="120"/>
        <v>0</v>
      </c>
    </row>
    <row r="868" spans="1:23" s="118" customFormat="1" hidden="1" x14ac:dyDescent="0.25">
      <c r="A868" s="64" t="str">
        <f t="shared" si="117"/>
        <v xml:space="preserve"> - оборудование</v>
      </c>
      <c r="B868" s="64" t="str">
        <f t="shared" si="117"/>
        <v>244</v>
      </c>
      <c r="C868" s="64" t="str">
        <f t="shared" si="117"/>
        <v>310</v>
      </c>
      <c r="D868" s="119"/>
      <c r="E868" s="120"/>
      <c r="F868" s="120"/>
      <c r="G868" s="120"/>
      <c r="H868" s="117"/>
      <c r="I868" s="117"/>
      <c r="R868" s="120"/>
      <c r="S868" s="120"/>
      <c r="T868" s="120"/>
      <c r="U868" s="120">
        <f t="shared" si="118"/>
        <v>0</v>
      </c>
      <c r="V868" s="120">
        <f t="shared" si="119"/>
        <v>0</v>
      </c>
      <c r="W868" s="120">
        <f t="shared" si="120"/>
        <v>0</v>
      </c>
    </row>
    <row r="869" spans="1:23" s="118" customFormat="1" x14ac:dyDescent="0.25">
      <c r="A869" s="64" t="str">
        <f t="shared" si="117"/>
        <v xml:space="preserve"> - инструмент и инвентарь</v>
      </c>
      <c r="B869" s="64" t="str">
        <f t="shared" si="117"/>
        <v>244</v>
      </c>
      <c r="C869" s="64" t="str">
        <f t="shared" si="117"/>
        <v>310</v>
      </c>
      <c r="D869" s="119"/>
      <c r="E869" s="120">
        <v>588</v>
      </c>
      <c r="F869" s="120"/>
      <c r="G869" s="120"/>
      <c r="H869" s="117"/>
      <c r="I869" s="117"/>
      <c r="R869" s="120"/>
      <c r="S869" s="120"/>
      <c r="T869" s="120"/>
      <c r="U869" s="120">
        <f t="shared" si="118"/>
        <v>588</v>
      </c>
      <c r="V869" s="120">
        <f t="shared" si="119"/>
        <v>0</v>
      </c>
      <c r="W869" s="120">
        <f t="shared" si="120"/>
        <v>0</v>
      </c>
    </row>
    <row r="870" spans="1:23" s="118" customFormat="1" hidden="1" x14ac:dyDescent="0.25">
      <c r="A870" s="64" t="str">
        <f t="shared" si="117"/>
        <v xml:space="preserve"> - турникет</v>
      </c>
      <c r="B870" s="64" t="str">
        <f t="shared" si="117"/>
        <v>244</v>
      </c>
      <c r="C870" s="64" t="str">
        <f t="shared" si="117"/>
        <v>310</v>
      </c>
      <c r="D870" s="119"/>
      <c r="E870" s="120"/>
      <c r="F870" s="120"/>
      <c r="G870" s="120"/>
      <c r="H870" s="117"/>
      <c r="I870" s="117"/>
      <c r="R870" s="120"/>
      <c r="S870" s="120"/>
      <c r="T870" s="120"/>
      <c r="U870" s="120">
        <f t="shared" si="118"/>
        <v>0</v>
      </c>
      <c r="V870" s="120">
        <f t="shared" si="119"/>
        <v>0</v>
      </c>
      <c r="W870" s="120">
        <f t="shared" si="120"/>
        <v>0</v>
      </c>
    </row>
    <row r="871" spans="1:23" s="118" customFormat="1" hidden="1" x14ac:dyDescent="0.25">
      <c r="A871" s="64" t="str">
        <f t="shared" si="117"/>
        <v xml:space="preserve"> - жалюзи</v>
      </c>
      <c r="B871" s="64" t="str">
        <f t="shared" si="117"/>
        <v>244</v>
      </c>
      <c r="C871" s="64" t="str">
        <f t="shared" si="117"/>
        <v>310</v>
      </c>
      <c r="D871" s="119"/>
      <c r="E871" s="120"/>
      <c r="F871" s="120"/>
      <c r="G871" s="120"/>
      <c r="H871" s="117"/>
      <c r="I871" s="117"/>
      <c r="R871" s="120"/>
      <c r="S871" s="120"/>
      <c r="T871" s="120"/>
      <c r="U871" s="120">
        <f t="shared" si="118"/>
        <v>0</v>
      </c>
      <c r="V871" s="120">
        <f t="shared" si="119"/>
        <v>0</v>
      </c>
      <c r="W871" s="120">
        <f t="shared" si="120"/>
        <v>0</v>
      </c>
    </row>
    <row r="872" spans="1:23" s="118" customFormat="1" hidden="1" x14ac:dyDescent="0.25">
      <c r="A872" s="64" t="str">
        <f t="shared" si="117"/>
        <v xml:space="preserve"> - игрушки</v>
      </c>
      <c r="B872" s="64" t="str">
        <f t="shared" si="117"/>
        <v>244</v>
      </c>
      <c r="C872" s="64" t="str">
        <f t="shared" si="117"/>
        <v>310</v>
      </c>
      <c r="D872" s="119"/>
      <c r="E872" s="120"/>
      <c r="F872" s="120"/>
      <c r="G872" s="120"/>
      <c r="H872" s="117"/>
      <c r="I872" s="117"/>
      <c r="R872" s="120"/>
      <c r="S872" s="120"/>
      <c r="T872" s="120"/>
      <c r="U872" s="120">
        <f t="shared" si="118"/>
        <v>0</v>
      </c>
      <c r="V872" s="120">
        <f t="shared" si="119"/>
        <v>0</v>
      </c>
      <c r="W872" s="120">
        <f t="shared" si="120"/>
        <v>0</v>
      </c>
    </row>
    <row r="873" spans="1:23" s="118" customFormat="1" hidden="1" x14ac:dyDescent="0.25">
      <c r="A873" s="64" t="str">
        <f t="shared" si="117"/>
        <v xml:space="preserve"> - металлические входные двери</v>
      </c>
      <c r="B873" s="64" t="str">
        <f t="shared" si="117"/>
        <v>244</v>
      </c>
      <c r="C873" s="64" t="str">
        <f t="shared" si="117"/>
        <v>310</v>
      </c>
      <c r="D873" s="119"/>
      <c r="E873" s="120"/>
      <c r="F873" s="120"/>
      <c r="G873" s="120"/>
      <c r="H873" s="117"/>
      <c r="I873" s="117"/>
      <c r="R873" s="120"/>
      <c r="S873" s="120"/>
      <c r="T873" s="120"/>
      <c r="U873" s="120">
        <f t="shared" si="118"/>
        <v>0</v>
      </c>
      <c r="V873" s="120">
        <f t="shared" si="119"/>
        <v>0</v>
      </c>
      <c r="W873" s="120">
        <f t="shared" si="120"/>
        <v>0</v>
      </c>
    </row>
    <row r="874" spans="1:23" s="45" customFormat="1" ht="27.6" x14ac:dyDescent="0.25">
      <c r="A874" s="52" t="str">
        <f t="shared" si="117"/>
        <v xml:space="preserve"> - увеличение стоимости материальных запасов, всего:</v>
      </c>
      <c r="B874" s="52" t="str">
        <f t="shared" si="117"/>
        <v>244</v>
      </c>
      <c r="C874" s="52" t="str">
        <f t="shared" si="117"/>
        <v>340</v>
      </c>
      <c r="D874" s="104"/>
      <c r="E874" s="62">
        <f>SUM(E875:E889)</f>
        <v>3376839.17</v>
      </c>
      <c r="F874" s="62">
        <f>SUM(F875:F889)</f>
        <v>3271217</v>
      </c>
      <c r="G874" s="62">
        <f>SUM(G875:G889)</f>
        <v>3271217</v>
      </c>
      <c r="H874" s="63"/>
      <c r="I874" s="63"/>
      <c r="R874" s="62"/>
      <c r="S874" s="62"/>
      <c r="T874" s="62"/>
      <c r="U874" s="62">
        <f t="shared" si="118"/>
        <v>3376839.17</v>
      </c>
      <c r="V874" s="62">
        <f t="shared" si="119"/>
        <v>3271217</v>
      </c>
      <c r="W874" s="62">
        <f t="shared" si="120"/>
        <v>3271217</v>
      </c>
    </row>
    <row r="875" spans="1:23" s="58" customFormat="1" hidden="1" x14ac:dyDescent="0.25">
      <c r="A875" s="52" t="str">
        <f t="shared" si="117"/>
        <v xml:space="preserve"> - ГСМ</v>
      </c>
      <c r="B875" s="52" t="str">
        <f t="shared" si="117"/>
        <v>244</v>
      </c>
      <c r="C875" s="52" t="str">
        <f t="shared" si="117"/>
        <v>343</v>
      </c>
      <c r="D875" s="53"/>
      <c r="E875" s="54"/>
      <c r="F875" s="54"/>
      <c r="G875" s="54"/>
      <c r="H875" s="57"/>
      <c r="I875" s="57"/>
      <c r="R875" s="54"/>
      <c r="S875" s="54"/>
      <c r="T875" s="54"/>
      <c r="U875" s="54">
        <f t="shared" si="118"/>
        <v>0</v>
      </c>
      <c r="V875" s="54">
        <f t="shared" si="119"/>
        <v>0</v>
      </c>
      <c r="W875" s="54">
        <f t="shared" si="120"/>
        <v>0</v>
      </c>
    </row>
    <row r="876" spans="1:23" s="58" customFormat="1" x14ac:dyDescent="0.25">
      <c r="A876" s="52" t="str">
        <f t="shared" si="117"/>
        <v xml:space="preserve"> - продукты питания</v>
      </c>
      <c r="B876" s="52" t="str">
        <f t="shared" si="117"/>
        <v>244</v>
      </c>
      <c r="C876" s="52" t="str">
        <f t="shared" si="117"/>
        <v>342</v>
      </c>
      <c r="D876" s="53"/>
      <c r="E876" s="818">
        <f>3130675+106210.01+0.16-588</f>
        <v>3236297.17</v>
      </c>
      <c r="F876" s="818">
        <v>3130675</v>
      </c>
      <c r="G876" s="818">
        <v>3130675</v>
      </c>
      <c r="H876" s="57"/>
      <c r="I876" s="57"/>
      <c r="R876" s="54"/>
      <c r="S876" s="54"/>
      <c r="T876" s="54"/>
      <c r="U876" s="54">
        <f t="shared" si="118"/>
        <v>3236297.17</v>
      </c>
      <c r="V876" s="54">
        <f t="shared" si="119"/>
        <v>3130675</v>
      </c>
      <c r="W876" s="54">
        <f t="shared" si="120"/>
        <v>3130675</v>
      </c>
    </row>
    <row r="877" spans="1:23" s="58" customFormat="1" hidden="1" x14ac:dyDescent="0.25">
      <c r="A877" s="52" t="str">
        <f t="shared" si="117"/>
        <v xml:space="preserve"> - расходные материалы к комп.технике</v>
      </c>
      <c r="B877" s="52" t="str">
        <f t="shared" si="117"/>
        <v>244</v>
      </c>
      <c r="C877" s="52" t="str">
        <f t="shared" si="117"/>
        <v>346</v>
      </c>
      <c r="D877" s="53"/>
      <c r="E877" s="54"/>
      <c r="F877" s="54"/>
      <c r="G877" s="54"/>
      <c r="H877" s="57"/>
      <c r="I877" s="57"/>
      <c r="R877" s="54"/>
      <c r="S877" s="54"/>
      <c r="T877" s="54"/>
      <c r="U877" s="54">
        <f t="shared" si="118"/>
        <v>0</v>
      </c>
      <c r="V877" s="54">
        <f t="shared" si="119"/>
        <v>0</v>
      </c>
      <c r="W877" s="54">
        <f t="shared" si="120"/>
        <v>0</v>
      </c>
    </row>
    <row r="878" spans="1:23" s="58" customFormat="1" hidden="1" x14ac:dyDescent="0.25">
      <c r="A878" s="52" t="str">
        <f t="shared" si="117"/>
        <v xml:space="preserve"> - медикаменты</v>
      </c>
      <c r="B878" s="52" t="str">
        <f t="shared" si="117"/>
        <v>244</v>
      </c>
      <c r="C878" s="52" t="str">
        <f t="shared" si="117"/>
        <v>341</v>
      </c>
      <c r="D878" s="53"/>
      <c r="E878" s="54"/>
      <c r="F878" s="54"/>
      <c r="G878" s="54"/>
      <c r="H878" s="57"/>
      <c r="I878" s="57"/>
      <c r="R878" s="54"/>
      <c r="S878" s="54"/>
      <c r="T878" s="54"/>
      <c r="U878" s="54">
        <f t="shared" si="118"/>
        <v>0</v>
      </c>
      <c r="V878" s="54">
        <f t="shared" si="119"/>
        <v>0</v>
      </c>
      <c r="W878" s="54">
        <f t="shared" si="120"/>
        <v>0</v>
      </c>
    </row>
    <row r="879" spans="1:23" s="58" customFormat="1" hidden="1" x14ac:dyDescent="0.25">
      <c r="A879" s="52" t="str">
        <f t="shared" si="117"/>
        <v xml:space="preserve"> - строительные материалы</v>
      </c>
      <c r="B879" s="52" t="str">
        <f t="shared" si="117"/>
        <v>244</v>
      </c>
      <c r="C879" s="52" t="str">
        <f t="shared" si="117"/>
        <v>344</v>
      </c>
      <c r="D879" s="53"/>
      <c r="E879" s="54"/>
      <c r="F879" s="54"/>
      <c r="G879" s="54"/>
      <c r="H879" s="57"/>
      <c r="I879" s="57"/>
      <c r="R879" s="54"/>
      <c r="S879" s="54"/>
      <c r="T879" s="54"/>
      <c r="U879" s="54">
        <f t="shared" si="118"/>
        <v>0</v>
      </c>
      <c r="V879" s="54">
        <f t="shared" si="119"/>
        <v>0</v>
      </c>
      <c r="W879" s="54">
        <f t="shared" si="120"/>
        <v>0</v>
      </c>
    </row>
    <row r="880" spans="1:23" s="58" customFormat="1" hidden="1" x14ac:dyDescent="0.25">
      <c r="A880" s="52" t="str">
        <f t="shared" si="117"/>
        <v xml:space="preserve"> - ворота, калитка</v>
      </c>
      <c r="B880" s="52" t="str">
        <f t="shared" si="117"/>
        <v>244</v>
      </c>
      <c r="C880" s="52" t="str">
        <f t="shared" si="117"/>
        <v>344</v>
      </c>
      <c r="D880" s="53"/>
      <c r="E880" s="54"/>
      <c r="F880" s="54"/>
      <c r="G880" s="54"/>
      <c r="H880" s="57"/>
      <c r="I880" s="57"/>
      <c r="R880" s="54"/>
      <c r="S880" s="54"/>
      <c r="T880" s="54"/>
      <c r="U880" s="54">
        <f t="shared" si="118"/>
        <v>0</v>
      </c>
      <c r="V880" s="54">
        <f t="shared" si="119"/>
        <v>0</v>
      </c>
      <c r="W880" s="54">
        <f t="shared" si="120"/>
        <v>0</v>
      </c>
    </row>
    <row r="881" spans="1:23" s="58" customFormat="1" hidden="1" x14ac:dyDescent="0.25">
      <c r="A881" s="52" t="str">
        <f t="shared" ref="A881:C889" si="121">A161</f>
        <v xml:space="preserve"> - канцелярские товары</v>
      </c>
      <c r="B881" s="52" t="str">
        <f t="shared" si="121"/>
        <v>244</v>
      </c>
      <c r="C881" s="52" t="str">
        <f t="shared" si="121"/>
        <v>346</v>
      </c>
      <c r="D881" s="53"/>
      <c r="E881" s="54"/>
      <c r="F881" s="54"/>
      <c r="G881" s="54"/>
      <c r="H881" s="57"/>
      <c r="I881" s="57"/>
      <c r="R881" s="54"/>
      <c r="S881" s="54"/>
      <c r="T881" s="54"/>
      <c r="U881" s="54">
        <f t="shared" si="118"/>
        <v>0</v>
      </c>
      <c r="V881" s="54">
        <f t="shared" si="119"/>
        <v>0</v>
      </c>
      <c r="W881" s="54">
        <f t="shared" si="120"/>
        <v>0</v>
      </c>
    </row>
    <row r="882" spans="1:23" s="58" customFormat="1" hidden="1" x14ac:dyDescent="0.25">
      <c r="A882" s="52" t="str">
        <f t="shared" si="121"/>
        <v xml:space="preserve"> - хозяйственные товары, электрика</v>
      </c>
      <c r="B882" s="52" t="str">
        <f t="shared" si="121"/>
        <v>244</v>
      </c>
      <c r="C882" s="52" t="str">
        <f t="shared" si="121"/>
        <v>346</v>
      </c>
      <c r="D882" s="53"/>
      <c r="E882" s="54"/>
      <c r="F882" s="54"/>
      <c r="G882" s="54"/>
      <c r="H882" s="57"/>
      <c r="I882" s="57"/>
      <c r="R882" s="54"/>
      <c r="S882" s="54"/>
      <c r="T882" s="54"/>
      <c r="U882" s="54">
        <f t="shared" si="118"/>
        <v>0</v>
      </c>
      <c r="V882" s="54">
        <f t="shared" si="119"/>
        <v>0</v>
      </c>
      <c r="W882" s="54">
        <f t="shared" si="120"/>
        <v>0</v>
      </c>
    </row>
    <row r="883" spans="1:23" s="58" customFormat="1" hidden="1" x14ac:dyDescent="0.25">
      <c r="A883" s="52" t="str">
        <f t="shared" si="121"/>
        <v xml:space="preserve"> - бланки</v>
      </c>
      <c r="B883" s="52" t="str">
        <f t="shared" si="121"/>
        <v>244</v>
      </c>
      <c r="C883" s="52" t="str">
        <f t="shared" si="121"/>
        <v>346</v>
      </c>
      <c r="D883" s="53"/>
      <c r="E883" s="54"/>
      <c r="F883" s="54"/>
      <c r="G883" s="54"/>
      <c r="H883" s="57"/>
      <c r="I883" s="57"/>
      <c r="R883" s="54"/>
      <c r="S883" s="54"/>
      <c r="T883" s="54"/>
      <c r="U883" s="54">
        <f t="shared" si="118"/>
        <v>0</v>
      </c>
      <c r="V883" s="54">
        <f t="shared" si="119"/>
        <v>0</v>
      </c>
      <c r="W883" s="54">
        <f t="shared" si="120"/>
        <v>0</v>
      </c>
    </row>
    <row r="884" spans="1:23" s="58" customFormat="1" x14ac:dyDescent="0.25">
      <c r="A884" s="52" t="str">
        <f t="shared" si="121"/>
        <v xml:space="preserve"> - моющие</v>
      </c>
      <c r="B884" s="52" t="str">
        <f t="shared" si="121"/>
        <v>244</v>
      </c>
      <c r="C884" s="52" t="str">
        <f t="shared" si="121"/>
        <v>346</v>
      </c>
      <c r="D884" s="53"/>
      <c r="E884" s="818">
        <v>140542</v>
      </c>
      <c r="F884" s="818">
        <v>140542</v>
      </c>
      <c r="G884" s="818">
        <v>140542</v>
      </c>
      <c r="H884" s="57"/>
      <c r="I884" s="57"/>
      <c r="R884" s="54"/>
      <c r="S884" s="54"/>
      <c r="T884" s="54"/>
      <c r="U884" s="54">
        <f t="shared" si="118"/>
        <v>140542</v>
      </c>
      <c r="V884" s="54">
        <f t="shared" si="119"/>
        <v>140542</v>
      </c>
      <c r="W884" s="54">
        <f t="shared" si="120"/>
        <v>140542</v>
      </c>
    </row>
    <row r="885" spans="1:23" s="58" customFormat="1" hidden="1" x14ac:dyDescent="0.25">
      <c r="A885" s="52" t="str">
        <f t="shared" si="121"/>
        <v xml:space="preserve"> - новогодние подарки детям сотрудников</v>
      </c>
      <c r="B885" s="52" t="str">
        <f t="shared" si="121"/>
        <v>244</v>
      </c>
      <c r="C885" s="52" t="str">
        <f t="shared" si="121"/>
        <v>349</v>
      </c>
      <c r="D885" s="53"/>
      <c r="E885" s="54"/>
      <c r="F885" s="54"/>
      <c r="G885" s="54"/>
      <c r="H885" s="57"/>
      <c r="I885" s="57"/>
      <c r="R885" s="54"/>
      <c r="S885" s="54"/>
      <c r="T885" s="54"/>
      <c r="U885" s="54">
        <f t="shared" si="118"/>
        <v>0</v>
      </c>
      <c r="V885" s="54">
        <f t="shared" si="119"/>
        <v>0</v>
      </c>
      <c r="W885" s="54">
        <f t="shared" si="120"/>
        <v>0</v>
      </c>
    </row>
    <row r="886" spans="1:23" s="58" customFormat="1" hidden="1" x14ac:dyDescent="0.25">
      <c r="A886" s="52" t="str">
        <f t="shared" si="121"/>
        <v xml:space="preserve"> - новогодние подарки сотрудникам</v>
      </c>
      <c r="B886" s="52" t="str">
        <f t="shared" si="121"/>
        <v>244</v>
      </c>
      <c r="C886" s="52" t="str">
        <f t="shared" si="121"/>
        <v>349</v>
      </c>
      <c r="D886" s="53"/>
      <c r="E886" s="54"/>
      <c r="F886" s="54"/>
      <c r="G886" s="54"/>
      <c r="H886" s="57"/>
      <c r="I886" s="57"/>
      <c r="R886" s="54"/>
      <c r="S886" s="54"/>
      <c r="T886" s="54"/>
      <c r="U886" s="54">
        <f t="shared" si="118"/>
        <v>0</v>
      </c>
      <c r="V886" s="54">
        <f t="shared" si="119"/>
        <v>0</v>
      </c>
      <c r="W886" s="54">
        <f t="shared" si="120"/>
        <v>0</v>
      </c>
    </row>
    <row r="887" spans="1:23" s="58" customFormat="1" hidden="1" x14ac:dyDescent="0.25">
      <c r="A887" s="52" t="str">
        <f t="shared" si="121"/>
        <v xml:space="preserve"> - прочие материальные запасы</v>
      </c>
      <c r="B887" s="52" t="str">
        <f t="shared" si="121"/>
        <v>244</v>
      </c>
      <c r="C887" s="52" t="str">
        <f t="shared" si="121"/>
        <v>346</v>
      </c>
      <c r="D887" s="53"/>
      <c r="E887" s="54"/>
      <c r="F887" s="54"/>
      <c r="G887" s="54"/>
      <c r="H887" s="57"/>
      <c r="I887" s="57"/>
      <c r="R887" s="54"/>
      <c r="S887" s="54"/>
      <c r="T887" s="54"/>
      <c r="U887" s="54">
        <f t="shared" si="118"/>
        <v>0</v>
      </c>
      <c r="V887" s="54">
        <f t="shared" si="119"/>
        <v>0</v>
      </c>
      <c r="W887" s="54">
        <f t="shared" si="120"/>
        <v>0</v>
      </c>
    </row>
    <row r="888" spans="1:23" s="58" customFormat="1" hidden="1" x14ac:dyDescent="0.25">
      <c r="A888" s="52" t="str">
        <f t="shared" si="121"/>
        <v xml:space="preserve"> - спецодежда МОП</v>
      </c>
      <c r="B888" s="52" t="str">
        <f t="shared" si="121"/>
        <v>244</v>
      </c>
      <c r="C888" s="52" t="str">
        <f t="shared" si="121"/>
        <v>345</v>
      </c>
      <c r="D888" s="53"/>
      <c r="E888" s="54"/>
      <c r="F888" s="54"/>
      <c r="G888" s="54"/>
      <c r="H888" s="57"/>
      <c r="I888" s="57"/>
      <c r="R888" s="54"/>
      <c r="S888" s="54"/>
      <c r="T888" s="54"/>
      <c r="U888" s="54">
        <f t="shared" si="118"/>
        <v>0</v>
      </c>
      <c r="V888" s="54">
        <f t="shared" si="119"/>
        <v>0</v>
      </c>
      <c r="W888" s="54">
        <f t="shared" si="120"/>
        <v>0</v>
      </c>
    </row>
    <row r="889" spans="1:23" s="58" customFormat="1" hidden="1" x14ac:dyDescent="0.25">
      <c r="A889" s="52" t="str">
        <f t="shared" si="121"/>
        <v xml:space="preserve"> - запчасти для а/м</v>
      </c>
      <c r="B889" s="52" t="str">
        <f t="shared" si="121"/>
        <v>244</v>
      </c>
      <c r="C889" s="52" t="str">
        <f t="shared" si="121"/>
        <v>346</v>
      </c>
      <c r="D889" s="53"/>
      <c r="E889" s="54"/>
      <c r="F889" s="54"/>
      <c r="G889" s="54"/>
      <c r="H889" s="57"/>
      <c r="I889" s="57"/>
      <c r="R889" s="54"/>
      <c r="S889" s="54"/>
      <c r="T889" s="54"/>
      <c r="U889" s="54">
        <f t="shared" si="118"/>
        <v>0</v>
      </c>
      <c r="V889" s="54">
        <f t="shared" si="119"/>
        <v>0</v>
      </c>
      <c r="W889" s="54">
        <f t="shared" si="120"/>
        <v>0</v>
      </c>
    </row>
    <row r="890" spans="1:23" s="45" customFormat="1" x14ac:dyDescent="0.25">
      <c r="A890" s="71" t="s">
        <v>346</v>
      </c>
      <c r="B890" s="68"/>
      <c r="C890" s="68"/>
      <c r="D890" s="68" t="s">
        <v>37</v>
      </c>
      <c r="E890" s="61">
        <f>SUM(E891,E892,E893,E894,E895,E896,E897,E905,E903,E929,E947,E949,E950,E951,E952,E954,E964,E901,E904,E948,E900,E902,E946,E953)</f>
        <v>468987.85</v>
      </c>
      <c r="F890" s="61">
        <f>SUM(F891,F892,F893,F894,F895,F896,F897,F905,F903,F929,F947,F949,F950,F951,F952,F954,F964,F901,F904,F948,F900,F902,F946,F953)</f>
        <v>400000</v>
      </c>
      <c r="G890" s="61">
        <f>SUM(G891,G892,G893,G894,G895,G896,G897,G905,G903,G929,G947,G949,G950,G951,G952,G954,G964,G901,G904,G948,G900,G902,G946,G953)</f>
        <v>400000</v>
      </c>
      <c r="R890" s="61"/>
      <c r="S890" s="61"/>
      <c r="T890" s="61"/>
      <c r="U890" s="61">
        <f t="shared" si="118"/>
        <v>468987.85</v>
      </c>
      <c r="V890" s="61">
        <f t="shared" si="119"/>
        <v>400000</v>
      </c>
      <c r="W890" s="61">
        <f t="shared" si="120"/>
        <v>400000</v>
      </c>
    </row>
    <row r="891" spans="1:23" hidden="1" x14ac:dyDescent="0.25">
      <c r="A891" s="441" t="str">
        <f t="shared" ref="A891:C910" si="122">A81</f>
        <v xml:space="preserve"> - заработная плата</v>
      </c>
      <c r="B891" s="52" t="str">
        <f t="shared" si="122"/>
        <v>111</v>
      </c>
      <c r="C891" s="52" t="str">
        <f t="shared" si="122"/>
        <v>211</v>
      </c>
      <c r="D891" s="53" t="s">
        <v>37</v>
      </c>
      <c r="E891" s="54"/>
      <c r="F891" s="54"/>
      <c r="G891" s="54"/>
      <c r="H891" s="56"/>
      <c r="R891" s="54"/>
      <c r="S891" s="54"/>
      <c r="T891" s="54"/>
      <c r="U891" s="54">
        <f t="shared" si="118"/>
        <v>0</v>
      </c>
      <c r="V891" s="54">
        <f t="shared" si="119"/>
        <v>0</v>
      </c>
      <c r="W891" s="54">
        <f t="shared" si="120"/>
        <v>0</v>
      </c>
    </row>
    <row r="892" spans="1:23" hidden="1" x14ac:dyDescent="0.25">
      <c r="A892" s="52" t="str">
        <f t="shared" si="122"/>
        <v xml:space="preserve"> - 3 дн б/л за счет работодателя</v>
      </c>
      <c r="B892" s="52" t="str">
        <f t="shared" si="122"/>
        <v>111</v>
      </c>
      <c r="C892" s="52" t="str">
        <f t="shared" si="122"/>
        <v>266</v>
      </c>
      <c r="D892" s="53" t="s">
        <v>37</v>
      </c>
      <c r="E892" s="54"/>
      <c r="F892" s="54"/>
      <c r="G892" s="54"/>
      <c r="H892" s="56"/>
      <c r="R892" s="54"/>
      <c r="S892" s="54"/>
      <c r="T892" s="54"/>
      <c r="U892" s="54">
        <f t="shared" si="118"/>
        <v>0</v>
      </c>
      <c r="V892" s="54">
        <f t="shared" si="119"/>
        <v>0</v>
      </c>
      <c r="W892" s="54">
        <f t="shared" si="120"/>
        <v>0</v>
      </c>
    </row>
    <row r="893" spans="1:23" s="58" customFormat="1" hidden="1" x14ac:dyDescent="0.25">
      <c r="A893" s="52" t="str">
        <f t="shared" si="122"/>
        <v xml:space="preserve"> - пособие по уходу за ребенком</v>
      </c>
      <c r="B893" s="52" t="str">
        <f t="shared" si="122"/>
        <v>112</v>
      </c>
      <c r="C893" s="52" t="str">
        <f t="shared" si="122"/>
        <v>266</v>
      </c>
      <c r="D893" s="53" t="s">
        <v>37</v>
      </c>
      <c r="E893" s="54"/>
      <c r="F893" s="54"/>
      <c r="G893" s="54"/>
      <c r="H893" s="57"/>
      <c r="I893" s="57"/>
      <c r="R893" s="54"/>
      <c r="S893" s="54"/>
      <c r="T893" s="54"/>
      <c r="U893" s="54">
        <f t="shared" si="118"/>
        <v>0</v>
      </c>
      <c r="V893" s="54">
        <f t="shared" si="119"/>
        <v>0</v>
      </c>
      <c r="W893" s="54">
        <f t="shared" si="120"/>
        <v>0</v>
      </c>
    </row>
    <row r="894" spans="1:23" s="58" customFormat="1" hidden="1" x14ac:dyDescent="0.25">
      <c r="A894" s="52" t="str">
        <f t="shared" si="122"/>
        <v xml:space="preserve"> - предварительный мед.осмотр (возм.расх.)</v>
      </c>
      <c r="B894" s="52" t="str">
        <f t="shared" si="122"/>
        <v>112</v>
      </c>
      <c r="C894" s="52" t="str">
        <f t="shared" si="122"/>
        <v>226</v>
      </c>
      <c r="D894" s="53" t="s">
        <v>37</v>
      </c>
      <c r="E894" s="54"/>
      <c r="F894" s="54"/>
      <c r="G894" s="54"/>
      <c r="H894" s="57"/>
      <c r="I894" s="57"/>
      <c r="R894" s="54"/>
      <c r="S894" s="54"/>
      <c r="T894" s="54"/>
      <c r="U894" s="54">
        <f t="shared" si="118"/>
        <v>0</v>
      </c>
      <c r="V894" s="54">
        <f t="shared" si="119"/>
        <v>0</v>
      </c>
      <c r="W894" s="54">
        <f t="shared" si="120"/>
        <v>0</v>
      </c>
    </row>
    <row r="895" spans="1:23" s="58" customFormat="1" hidden="1" x14ac:dyDescent="0.25">
      <c r="A895" s="52" t="str">
        <f t="shared" si="122"/>
        <v xml:space="preserve"> - НДФЛ</v>
      </c>
      <c r="B895" s="52" t="str">
        <f t="shared" si="122"/>
        <v>112</v>
      </c>
      <c r="C895" s="52" t="str">
        <f t="shared" si="122"/>
        <v>266</v>
      </c>
      <c r="D895" s="53" t="s">
        <v>37</v>
      </c>
      <c r="E895" s="54"/>
      <c r="F895" s="54"/>
      <c r="G895" s="54"/>
      <c r="H895" s="57"/>
      <c r="I895" s="57"/>
      <c r="R895" s="54"/>
      <c r="S895" s="54"/>
      <c r="T895" s="54"/>
      <c r="U895" s="54">
        <f t="shared" si="118"/>
        <v>0</v>
      </c>
      <c r="V895" s="54">
        <f t="shared" si="119"/>
        <v>0</v>
      </c>
      <c r="W895" s="54">
        <f t="shared" si="120"/>
        <v>0</v>
      </c>
    </row>
    <row r="896" spans="1:23" hidden="1" x14ac:dyDescent="0.25">
      <c r="A896" s="52" t="str">
        <f t="shared" si="122"/>
        <v xml:space="preserve"> - начисления на оплату труда</v>
      </c>
      <c r="B896" s="52" t="str">
        <f t="shared" si="122"/>
        <v>119</v>
      </c>
      <c r="C896" s="52" t="str">
        <f t="shared" si="122"/>
        <v>213</v>
      </c>
      <c r="D896" s="53" t="s">
        <v>37</v>
      </c>
      <c r="E896" s="54"/>
      <c r="F896" s="54"/>
      <c r="G896" s="54"/>
      <c r="H896" s="56"/>
      <c r="R896" s="54"/>
      <c r="S896" s="54"/>
      <c r="T896" s="54"/>
      <c r="U896" s="54">
        <f t="shared" ref="U896:U927" si="123">E896-R896</f>
        <v>0</v>
      </c>
      <c r="V896" s="54">
        <f t="shared" ref="V896:V927" si="124">F896-S896</f>
        <v>0</v>
      </c>
      <c r="W896" s="54">
        <f t="shared" ref="W896:W927" si="125">G896-T896</f>
        <v>0</v>
      </c>
    </row>
    <row r="897" spans="1:23" s="45" customFormat="1" x14ac:dyDescent="0.25">
      <c r="A897" s="52" t="str">
        <f t="shared" si="122"/>
        <v xml:space="preserve"> - услуги связи, всего:</v>
      </c>
      <c r="B897" s="52" t="str">
        <f t="shared" si="122"/>
        <v>244</v>
      </c>
      <c r="C897" s="52" t="str">
        <f t="shared" si="122"/>
        <v>221</v>
      </c>
      <c r="D897" s="60"/>
      <c r="E897" s="834">
        <f>SUM(E898:E899)+2072</f>
        <v>15672</v>
      </c>
      <c r="F897" s="61">
        <f>SUM(F898:F899)</f>
        <v>13600</v>
      </c>
      <c r="G897" s="61">
        <f>SUM(G898:G899)</f>
        <v>13600</v>
      </c>
      <c r="H897" s="63"/>
      <c r="R897" s="61"/>
      <c r="S897" s="61"/>
      <c r="T897" s="61"/>
      <c r="U897" s="61">
        <f t="shared" si="123"/>
        <v>15672</v>
      </c>
      <c r="V897" s="61">
        <f t="shared" si="124"/>
        <v>13600</v>
      </c>
      <c r="W897" s="61">
        <f t="shared" si="125"/>
        <v>13600</v>
      </c>
    </row>
    <row r="898" spans="1:23" ht="27.6" hidden="1" x14ac:dyDescent="0.25">
      <c r="A898" s="52" t="str">
        <f t="shared" si="122"/>
        <v xml:space="preserve">   в том числе:
    - ГТС и МТС</v>
      </c>
      <c r="B898" s="52" t="str">
        <f t="shared" si="122"/>
        <v>244</v>
      </c>
      <c r="C898" s="52" t="str">
        <f t="shared" si="122"/>
        <v>221</v>
      </c>
      <c r="D898" s="53"/>
      <c r="E898" s="54"/>
      <c r="F898" s="54"/>
      <c r="G898" s="54"/>
      <c r="H898" s="56"/>
      <c r="I898" s="56"/>
      <c r="R898" s="54"/>
      <c r="S898" s="54"/>
      <c r="T898" s="54"/>
      <c r="U898" s="54">
        <f t="shared" si="123"/>
        <v>0</v>
      </c>
      <c r="V898" s="54">
        <f t="shared" si="124"/>
        <v>0</v>
      </c>
      <c r="W898" s="54">
        <f t="shared" si="125"/>
        <v>0</v>
      </c>
    </row>
    <row r="899" spans="1:23" s="58" customFormat="1" x14ac:dyDescent="0.25">
      <c r="A899" s="52" t="str">
        <f t="shared" si="122"/>
        <v xml:space="preserve">    - интернет </v>
      </c>
      <c r="B899" s="52" t="str">
        <f t="shared" si="122"/>
        <v>244</v>
      </c>
      <c r="C899" s="52" t="str">
        <f t="shared" si="122"/>
        <v>221</v>
      </c>
      <c r="D899" s="53"/>
      <c r="E899" s="818">
        <v>13600</v>
      </c>
      <c r="F899" s="818">
        <v>13600</v>
      </c>
      <c r="G899" s="818">
        <v>13600</v>
      </c>
      <c r="H899" s="57"/>
      <c r="I899" s="57"/>
      <c r="R899" s="54"/>
      <c r="S899" s="54"/>
      <c r="T899" s="54"/>
      <c r="U899" s="54">
        <f t="shared" si="123"/>
        <v>13600</v>
      </c>
      <c r="V899" s="54">
        <f t="shared" si="124"/>
        <v>13600</v>
      </c>
      <c r="W899" s="54">
        <f t="shared" si="125"/>
        <v>13600</v>
      </c>
    </row>
    <row r="900" spans="1:23" s="58" customFormat="1" x14ac:dyDescent="0.25">
      <c r="A900" s="52" t="str">
        <f t="shared" si="122"/>
        <v xml:space="preserve"> - транспортные расходы</v>
      </c>
      <c r="B900" s="52" t="str">
        <f t="shared" si="122"/>
        <v>244</v>
      </c>
      <c r="C900" s="52" t="str">
        <f t="shared" si="122"/>
        <v>222</v>
      </c>
      <c r="D900" s="53"/>
      <c r="E900" s="818">
        <v>1400</v>
      </c>
      <c r="F900" s="818">
        <v>1400</v>
      </c>
      <c r="G900" s="818">
        <v>1400</v>
      </c>
      <c r="I900" s="57"/>
      <c r="R900" s="54"/>
      <c r="S900" s="54"/>
      <c r="T900" s="54"/>
      <c r="U900" s="54">
        <f t="shared" si="123"/>
        <v>1400</v>
      </c>
      <c r="V900" s="54">
        <f t="shared" si="124"/>
        <v>1400</v>
      </c>
      <c r="W900" s="54">
        <f t="shared" si="125"/>
        <v>1400</v>
      </c>
    </row>
    <row r="901" spans="1:23" hidden="1" x14ac:dyDescent="0.25">
      <c r="A901" s="52" t="str">
        <f t="shared" si="122"/>
        <v xml:space="preserve"> - коммунальные расходы (без ЖБО)</v>
      </c>
      <c r="B901" s="52" t="str">
        <f t="shared" si="122"/>
        <v>244</v>
      </c>
      <c r="C901" s="52" t="str">
        <f t="shared" si="122"/>
        <v>223</v>
      </c>
      <c r="D901" s="53"/>
      <c r="E901" s="54"/>
      <c r="F901" s="54"/>
      <c r="G901" s="54"/>
      <c r="H901" s="56"/>
      <c r="I901" s="56"/>
      <c r="R901" s="54"/>
      <c r="S901" s="54"/>
      <c r="T901" s="54"/>
      <c r="U901" s="54">
        <f t="shared" si="123"/>
        <v>0</v>
      </c>
      <c r="V901" s="54">
        <f t="shared" si="124"/>
        <v>0</v>
      </c>
      <c r="W901" s="54">
        <f t="shared" si="125"/>
        <v>0</v>
      </c>
    </row>
    <row r="902" spans="1:23" hidden="1" x14ac:dyDescent="0.25">
      <c r="A902" s="52" t="str">
        <f t="shared" si="122"/>
        <v xml:space="preserve"> - коммунальные расходы (без ЖБО)</v>
      </c>
      <c r="B902" s="52" t="str">
        <f t="shared" si="122"/>
        <v>247</v>
      </c>
      <c r="C902" s="52" t="str">
        <f t="shared" si="122"/>
        <v>223</v>
      </c>
      <c r="D902" s="53"/>
      <c r="E902" s="54"/>
      <c r="F902" s="54"/>
      <c r="G902" s="54"/>
      <c r="H902" s="56"/>
      <c r="I902" s="56"/>
      <c r="R902" s="54"/>
      <c r="S902" s="54"/>
      <c r="T902" s="54"/>
      <c r="U902" s="54">
        <f t="shared" si="123"/>
        <v>0</v>
      </c>
      <c r="V902" s="54">
        <f t="shared" si="124"/>
        <v>0</v>
      </c>
      <c r="W902" s="54">
        <f t="shared" si="125"/>
        <v>0</v>
      </c>
    </row>
    <row r="903" spans="1:23" hidden="1" x14ac:dyDescent="0.25">
      <c r="A903" s="52" t="str">
        <f t="shared" si="122"/>
        <v xml:space="preserve">    - ЖБО </v>
      </c>
      <c r="B903" s="52" t="str">
        <f t="shared" si="122"/>
        <v>244</v>
      </c>
      <c r="C903" s="52" t="str">
        <f t="shared" si="122"/>
        <v>223</v>
      </c>
      <c r="D903" s="53"/>
      <c r="E903" s="54"/>
      <c r="F903" s="54"/>
      <c r="G903" s="54"/>
      <c r="H903" s="58"/>
      <c r="I903" s="57"/>
      <c r="R903" s="54"/>
      <c r="S903" s="54"/>
      <c r="T903" s="54"/>
      <c r="U903" s="54">
        <f t="shared" si="123"/>
        <v>0</v>
      </c>
      <c r="V903" s="54">
        <f t="shared" si="124"/>
        <v>0</v>
      </c>
      <c r="W903" s="54">
        <f t="shared" si="125"/>
        <v>0</v>
      </c>
    </row>
    <row r="904" spans="1:23" s="58" customFormat="1" hidden="1" x14ac:dyDescent="0.25">
      <c r="A904" s="52" t="str">
        <f t="shared" si="122"/>
        <v xml:space="preserve"> - арендная плата </v>
      </c>
      <c r="B904" s="52" t="str">
        <f t="shared" si="122"/>
        <v>244</v>
      </c>
      <c r="C904" s="52" t="str">
        <f t="shared" si="122"/>
        <v>224</v>
      </c>
      <c r="D904" s="53"/>
      <c r="E904" s="54"/>
      <c r="F904" s="54"/>
      <c r="G904" s="54"/>
      <c r="H904" s="57"/>
      <c r="I904" s="57"/>
      <c r="R904" s="54"/>
      <c r="S904" s="54"/>
      <c r="T904" s="54"/>
      <c r="U904" s="54">
        <f t="shared" si="123"/>
        <v>0</v>
      </c>
      <c r="V904" s="54">
        <f t="shared" si="124"/>
        <v>0</v>
      </c>
      <c r="W904" s="54">
        <f t="shared" si="125"/>
        <v>0</v>
      </c>
    </row>
    <row r="905" spans="1:23" s="45" customFormat="1" x14ac:dyDescent="0.25">
      <c r="A905" s="52" t="str">
        <f t="shared" si="122"/>
        <v xml:space="preserve"> - услуги по содержанию имущества, всего:</v>
      </c>
      <c r="B905" s="52" t="str">
        <f t="shared" si="122"/>
        <v>244</v>
      </c>
      <c r="C905" s="52" t="str">
        <f t="shared" si="122"/>
        <v>225</v>
      </c>
      <c r="D905" s="104"/>
      <c r="E905" s="62">
        <f>SUM(E906:E928)</f>
        <v>90000</v>
      </c>
      <c r="F905" s="62">
        <f>SUM(F906:F928)</f>
        <v>90000</v>
      </c>
      <c r="G905" s="62">
        <f>SUM(G906:G928)</f>
        <v>90000</v>
      </c>
      <c r="H905" s="63"/>
      <c r="I905" s="63"/>
      <c r="R905" s="62"/>
      <c r="S905" s="62"/>
      <c r="T905" s="62"/>
      <c r="U905" s="62">
        <f t="shared" si="123"/>
        <v>90000</v>
      </c>
      <c r="V905" s="62">
        <f t="shared" si="124"/>
        <v>90000</v>
      </c>
      <c r="W905" s="62">
        <f t="shared" si="125"/>
        <v>90000</v>
      </c>
    </row>
    <row r="906" spans="1:23" ht="41.4" hidden="1" x14ac:dyDescent="0.25">
      <c r="A906" s="52" t="str">
        <f t="shared" si="122"/>
        <v xml:space="preserve">   в том числе:
    - тек.ремонт (отопление, водопровод, электросетей)</v>
      </c>
      <c r="B906" s="52" t="str">
        <f t="shared" si="122"/>
        <v>244</v>
      </c>
      <c r="C906" s="52" t="str">
        <f t="shared" si="122"/>
        <v>225</v>
      </c>
      <c r="D906" s="53"/>
      <c r="E906" s="54"/>
      <c r="F906" s="54"/>
      <c r="G906" s="54"/>
      <c r="H906" s="56"/>
      <c r="I906" s="56"/>
      <c r="R906" s="54"/>
      <c r="S906" s="54"/>
      <c r="T906" s="54"/>
      <c r="U906" s="54">
        <f t="shared" si="123"/>
        <v>0</v>
      </c>
      <c r="V906" s="54">
        <f t="shared" si="124"/>
        <v>0</v>
      </c>
      <c r="W906" s="54">
        <f t="shared" si="125"/>
        <v>0</v>
      </c>
    </row>
    <row r="907" spans="1:23" s="66" customFormat="1" hidden="1" x14ac:dyDescent="0.25">
      <c r="A907" s="52" t="str">
        <f t="shared" si="122"/>
        <v xml:space="preserve">    - очистка кровли от снега</v>
      </c>
      <c r="B907" s="52" t="str">
        <f t="shared" si="122"/>
        <v>244</v>
      </c>
      <c r="C907" s="52" t="str">
        <f t="shared" si="122"/>
        <v>225</v>
      </c>
      <c r="D907" s="53"/>
      <c r="E907" s="54"/>
      <c r="F907" s="54"/>
      <c r="G907" s="54"/>
      <c r="I907" s="67"/>
      <c r="R907" s="54"/>
      <c r="S907" s="54"/>
      <c r="T907" s="54"/>
      <c r="U907" s="54">
        <f t="shared" si="123"/>
        <v>0</v>
      </c>
      <c r="V907" s="54">
        <f t="shared" si="124"/>
        <v>0</v>
      </c>
      <c r="W907" s="54">
        <f t="shared" si="125"/>
        <v>0</v>
      </c>
    </row>
    <row r="908" spans="1:23" ht="27.6" hidden="1" x14ac:dyDescent="0.25">
      <c r="A908" s="52" t="str">
        <f t="shared" si="122"/>
        <v xml:space="preserve">    - текущий ремонт кровли, крыльца, заделка швов, асфальтирование территории</v>
      </c>
      <c r="B908" s="52" t="str">
        <f t="shared" si="122"/>
        <v>244</v>
      </c>
      <c r="C908" s="52" t="str">
        <f t="shared" si="122"/>
        <v>225</v>
      </c>
      <c r="D908" s="53"/>
      <c r="E908" s="54"/>
      <c r="F908" s="54"/>
      <c r="G908" s="54"/>
      <c r="H908" s="56"/>
      <c r="I908" s="56"/>
      <c r="R908" s="54"/>
      <c r="S908" s="54"/>
      <c r="T908" s="54"/>
      <c r="U908" s="54">
        <f t="shared" si="123"/>
        <v>0</v>
      </c>
      <c r="V908" s="54">
        <f t="shared" si="124"/>
        <v>0</v>
      </c>
      <c r="W908" s="54">
        <f t="shared" si="125"/>
        <v>0</v>
      </c>
    </row>
    <row r="909" spans="1:23" hidden="1" x14ac:dyDescent="0.25">
      <c r="A909" s="52" t="str">
        <f t="shared" si="122"/>
        <v xml:space="preserve">    - аварийно-техническое обслуживание зданий</v>
      </c>
      <c r="B909" s="52" t="str">
        <f t="shared" si="122"/>
        <v>244</v>
      </c>
      <c r="C909" s="52" t="str">
        <f t="shared" si="122"/>
        <v>225</v>
      </c>
      <c r="D909" s="53"/>
      <c r="E909" s="54"/>
      <c r="F909" s="54"/>
      <c r="G909" s="54"/>
      <c r="H909" s="56"/>
      <c r="I909" s="56"/>
      <c r="R909" s="54"/>
      <c r="S909" s="54"/>
      <c r="T909" s="54"/>
      <c r="U909" s="54">
        <f t="shared" si="123"/>
        <v>0</v>
      </c>
      <c r="V909" s="54">
        <f t="shared" si="124"/>
        <v>0</v>
      </c>
      <c r="W909" s="54">
        <f t="shared" si="125"/>
        <v>0</v>
      </c>
    </row>
    <row r="910" spans="1:23" ht="27.6" hidden="1" x14ac:dyDescent="0.25">
      <c r="A910" s="52" t="str">
        <f t="shared" si="122"/>
        <v xml:space="preserve">    - содержание мест общего пользования (ПЖРЭТ), взносы на кап.ремонт</v>
      </c>
      <c r="B910" s="52" t="str">
        <f t="shared" si="122"/>
        <v>244</v>
      </c>
      <c r="C910" s="52" t="str">
        <f t="shared" si="122"/>
        <v>225</v>
      </c>
      <c r="D910" s="53"/>
      <c r="E910" s="54"/>
      <c r="F910" s="54"/>
      <c r="G910" s="54"/>
      <c r="I910" s="56"/>
      <c r="R910" s="54"/>
      <c r="S910" s="54"/>
      <c r="T910" s="54"/>
      <c r="U910" s="54">
        <f t="shared" si="123"/>
        <v>0</v>
      </c>
      <c r="V910" s="54">
        <f t="shared" si="124"/>
        <v>0</v>
      </c>
      <c r="W910" s="54">
        <f t="shared" si="125"/>
        <v>0</v>
      </c>
    </row>
    <row r="911" spans="1:23" hidden="1" x14ac:dyDescent="0.25">
      <c r="A911" s="52" t="str">
        <f t="shared" ref="A911:C930" si="126">A101</f>
        <v xml:space="preserve">    - наружное освещение</v>
      </c>
      <c r="B911" s="52" t="str">
        <f t="shared" si="126"/>
        <v>244</v>
      </c>
      <c r="C911" s="52" t="str">
        <f t="shared" si="126"/>
        <v>225</v>
      </c>
      <c r="D911" s="53"/>
      <c r="E911" s="54"/>
      <c r="F911" s="54"/>
      <c r="G911" s="54"/>
      <c r="I911" s="56"/>
      <c r="R911" s="54"/>
      <c r="S911" s="54"/>
      <c r="T911" s="54"/>
      <c r="U911" s="54">
        <f t="shared" si="123"/>
        <v>0</v>
      </c>
      <c r="V911" s="54">
        <f t="shared" si="124"/>
        <v>0</v>
      </c>
      <c r="W911" s="54">
        <f t="shared" si="125"/>
        <v>0</v>
      </c>
    </row>
    <row r="912" spans="1:23" hidden="1" x14ac:dyDescent="0.25">
      <c r="A912" s="52" t="str">
        <f t="shared" si="126"/>
        <v xml:space="preserve">    - то приборов коммерческого учета</v>
      </c>
      <c r="B912" s="52" t="str">
        <f t="shared" si="126"/>
        <v>244</v>
      </c>
      <c r="C912" s="52" t="str">
        <f t="shared" si="126"/>
        <v>225</v>
      </c>
      <c r="D912" s="53"/>
      <c r="E912" s="54"/>
      <c r="F912" s="54"/>
      <c r="G912" s="54"/>
      <c r="I912" s="56"/>
      <c r="R912" s="54"/>
      <c r="S912" s="54"/>
      <c r="T912" s="54"/>
      <c r="U912" s="54">
        <f t="shared" si="123"/>
        <v>0</v>
      </c>
      <c r="V912" s="54">
        <f t="shared" si="124"/>
        <v>0</v>
      </c>
      <c r="W912" s="54">
        <f t="shared" si="125"/>
        <v>0</v>
      </c>
    </row>
    <row r="913" spans="1:23" hidden="1" x14ac:dyDescent="0.25">
      <c r="A913" s="52" t="str">
        <f t="shared" si="126"/>
        <v xml:space="preserve">    - дезинфекция</v>
      </c>
      <c r="B913" s="52" t="str">
        <f t="shared" si="126"/>
        <v>244</v>
      </c>
      <c r="C913" s="52" t="str">
        <f t="shared" si="126"/>
        <v>225</v>
      </c>
      <c r="D913" s="53"/>
      <c r="E913" s="54"/>
      <c r="F913" s="54"/>
      <c r="G913" s="54"/>
      <c r="I913" s="56"/>
      <c r="R913" s="54"/>
      <c r="S913" s="54"/>
      <c r="T913" s="54"/>
      <c r="U913" s="54">
        <f t="shared" si="123"/>
        <v>0</v>
      </c>
      <c r="V913" s="54">
        <f t="shared" si="124"/>
        <v>0</v>
      </c>
      <c r="W913" s="54">
        <f t="shared" si="125"/>
        <v>0</v>
      </c>
    </row>
    <row r="914" spans="1:23" hidden="1" x14ac:dyDescent="0.25">
      <c r="A914" s="52" t="str">
        <f t="shared" si="126"/>
        <v xml:space="preserve">    - то видеонаблюдения</v>
      </c>
      <c r="B914" s="52" t="str">
        <f t="shared" si="126"/>
        <v>244</v>
      </c>
      <c r="C914" s="52" t="str">
        <f t="shared" si="126"/>
        <v>225</v>
      </c>
      <c r="D914" s="53"/>
      <c r="E914" s="54"/>
      <c r="F914" s="54"/>
      <c r="G914" s="54"/>
      <c r="I914" s="56"/>
      <c r="R914" s="54"/>
      <c r="S914" s="54"/>
      <c r="T914" s="54"/>
      <c r="U914" s="54">
        <f t="shared" si="123"/>
        <v>0</v>
      </c>
      <c r="V914" s="54">
        <f t="shared" si="124"/>
        <v>0</v>
      </c>
      <c r="W914" s="54">
        <f t="shared" si="125"/>
        <v>0</v>
      </c>
    </row>
    <row r="915" spans="1:23" hidden="1" x14ac:dyDescent="0.25">
      <c r="A915" s="52" t="str">
        <f t="shared" si="126"/>
        <v xml:space="preserve">    - то пожарно-охранной сигнализации</v>
      </c>
      <c r="B915" s="52" t="str">
        <f t="shared" si="126"/>
        <v>244</v>
      </c>
      <c r="C915" s="52" t="str">
        <f t="shared" si="126"/>
        <v>225</v>
      </c>
      <c r="D915" s="53"/>
      <c r="E915" s="54"/>
      <c r="F915" s="54"/>
      <c r="G915" s="54"/>
      <c r="I915" s="56"/>
      <c r="R915" s="54"/>
      <c r="S915" s="54"/>
      <c r="T915" s="54"/>
      <c r="U915" s="54">
        <f t="shared" si="123"/>
        <v>0</v>
      </c>
      <c r="V915" s="54">
        <f t="shared" si="124"/>
        <v>0</v>
      </c>
      <c r="W915" s="54">
        <f t="shared" si="125"/>
        <v>0</v>
      </c>
    </row>
    <row r="916" spans="1:23" hidden="1" x14ac:dyDescent="0.25">
      <c r="A916" s="52" t="str">
        <f t="shared" si="126"/>
        <v xml:space="preserve">    - монтаж (регулировка) дверей/окон</v>
      </c>
      <c r="B916" s="52" t="str">
        <f t="shared" si="126"/>
        <v>244</v>
      </c>
      <c r="C916" s="52" t="str">
        <f t="shared" si="126"/>
        <v>225</v>
      </c>
      <c r="D916" s="53"/>
      <c r="E916" s="54"/>
      <c r="F916" s="54"/>
      <c r="G916" s="54"/>
      <c r="I916" s="56"/>
      <c r="R916" s="54"/>
      <c r="S916" s="54"/>
      <c r="T916" s="54"/>
      <c r="U916" s="54">
        <f t="shared" si="123"/>
        <v>0</v>
      </c>
      <c r="V916" s="54">
        <f t="shared" si="124"/>
        <v>0</v>
      </c>
      <c r="W916" s="54">
        <f t="shared" si="125"/>
        <v>0</v>
      </c>
    </row>
    <row r="917" spans="1:23" x14ac:dyDescent="0.25">
      <c r="A917" s="52" t="str">
        <f t="shared" si="126"/>
        <v xml:space="preserve">    - заправка картриджей</v>
      </c>
      <c r="B917" s="52" t="str">
        <f t="shared" si="126"/>
        <v>244</v>
      </c>
      <c r="C917" s="52" t="str">
        <f t="shared" si="126"/>
        <v>225</v>
      </c>
      <c r="D917" s="53"/>
      <c r="E917" s="818">
        <v>25000</v>
      </c>
      <c r="F917" s="818">
        <v>25000</v>
      </c>
      <c r="G917" s="818">
        <v>25000</v>
      </c>
      <c r="I917" s="56"/>
      <c r="R917" s="54"/>
      <c r="S917" s="54"/>
      <c r="T917" s="54"/>
      <c r="U917" s="54">
        <f t="shared" si="123"/>
        <v>25000</v>
      </c>
      <c r="V917" s="54">
        <f t="shared" si="124"/>
        <v>25000</v>
      </c>
      <c r="W917" s="54">
        <f t="shared" si="125"/>
        <v>25000</v>
      </c>
    </row>
    <row r="918" spans="1:23" ht="14.25" hidden="1" customHeight="1" x14ac:dyDescent="0.25">
      <c r="A918" s="52" t="str">
        <f t="shared" si="126"/>
        <v xml:space="preserve">    - обслуживание кнопки тревожной сигнализации</v>
      </c>
      <c r="B918" s="52" t="str">
        <f t="shared" si="126"/>
        <v>244</v>
      </c>
      <c r="C918" s="52" t="str">
        <f t="shared" si="126"/>
        <v>225</v>
      </c>
      <c r="D918" s="53"/>
      <c r="E918" s="54"/>
      <c r="F918" s="54"/>
      <c r="G918" s="54"/>
      <c r="I918" s="56"/>
      <c r="R918" s="54"/>
      <c r="S918" s="54"/>
      <c r="T918" s="54"/>
      <c r="U918" s="54">
        <f t="shared" si="123"/>
        <v>0</v>
      </c>
      <c r="V918" s="54">
        <f t="shared" si="124"/>
        <v>0</v>
      </c>
      <c r="W918" s="54">
        <f t="shared" si="125"/>
        <v>0</v>
      </c>
    </row>
    <row r="919" spans="1:23" ht="14.25" customHeight="1" x14ac:dyDescent="0.25">
      <c r="A919" s="52" t="str">
        <f t="shared" si="126"/>
        <v xml:space="preserve">    - то компьютерного оборудования</v>
      </c>
      <c r="B919" s="52" t="str">
        <f t="shared" si="126"/>
        <v>244</v>
      </c>
      <c r="C919" s="52" t="str">
        <f t="shared" si="126"/>
        <v>225</v>
      </c>
      <c r="D919" s="53"/>
      <c r="E919" s="818">
        <v>10000</v>
      </c>
      <c r="F919" s="818">
        <v>10000</v>
      </c>
      <c r="G919" s="818">
        <v>10000</v>
      </c>
      <c r="I919" s="56"/>
      <c r="R919" s="54"/>
      <c r="S919" s="54"/>
      <c r="T919" s="54"/>
      <c r="U919" s="54">
        <f t="shared" si="123"/>
        <v>10000</v>
      </c>
      <c r="V919" s="54">
        <f t="shared" si="124"/>
        <v>10000</v>
      </c>
      <c r="W919" s="54">
        <f t="shared" si="125"/>
        <v>10000</v>
      </c>
    </row>
    <row r="920" spans="1:23" ht="14.25" customHeight="1" x14ac:dyDescent="0.25">
      <c r="A920" s="52" t="str">
        <f t="shared" si="126"/>
        <v xml:space="preserve">    - Химчистка</v>
      </c>
      <c r="B920" s="52" t="str">
        <f t="shared" si="126"/>
        <v>244</v>
      </c>
      <c r="C920" s="52" t="str">
        <f t="shared" si="126"/>
        <v>225</v>
      </c>
      <c r="D920" s="53"/>
      <c r="E920" s="818">
        <v>25000</v>
      </c>
      <c r="F920" s="818">
        <v>25000</v>
      </c>
      <c r="G920" s="818">
        <v>25000</v>
      </c>
      <c r="I920" s="56"/>
      <c r="R920" s="54"/>
      <c r="S920" s="54"/>
      <c r="T920" s="54"/>
      <c r="U920" s="54">
        <f t="shared" si="123"/>
        <v>25000</v>
      </c>
      <c r="V920" s="54">
        <f t="shared" si="124"/>
        <v>25000</v>
      </c>
      <c r="W920" s="54">
        <f t="shared" si="125"/>
        <v>25000</v>
      </c>
    </row>
    <row r="921" spans="1:23" x14ac:dyDescent="0.25">
      <c r="A921" s="52" t="str">
        <f t="shared" si="126"/>
        <v xml:space="preserve">    - поверка средств имерения</v>
      </c>
      <c r="B921" s="52" t="str">
        <f t="shared" si="126"/>
        <v>244</v>
      </c>
      <c r="C921" s="52" t="str">
        <f t="shared" si="126"/>
        <v>225</v>
      </c>
      <c r="D921" s="53"/>
      <c r="E921" s="818">
        <v>27000</v>
      </c>
      <c r="F921" s="818">
        <v>27000</v>
      </c>
      <c r="G921" s="818">
        <v>27000</v>
      </c>
      <c r="I921" s="56"/>
      <c r="R921" s="54"/>
      <c r="S921" s="54"/>
      <c r="T921" s="54"/>
      <c r="U921" s="54">
        <f t="shared" si="123"/>
        <v>27000</v>
      </c>
      <c r="V921" s="54">
        <f t="shared" si="124"/>
        <v>27000</v>
      </c>
      <c r="W921" s="54">
        <f t="shared" si="125"/>
        <v>27000</v>
      </c>
    </row>
    <row r="922" spans="1:23" hidden="1" x14ac:dyDescent="0.25">
      <c r="A922" s="52" t="str">
        <f t="shared" si="126"/>
        <v xml:space="preserve">    - вывоз ТКО</v>
      </c>
      <c r="B922" s="52" t="str">
        <f t="shared" si="126"/>
        <v>244</v>
      </c>
      <c r="C922" s="52" t="str">
        <f t="shared" si="126"/>
        <v>225</v>
      </c>
      <c r="D922" s="53"/>
      <c r="E922" s="54"/>
      <c r="F922" s="54"/>
      <c r="G922" s="54"/>
      <c r="I922" s="56"/>
      <c r="R922" s="54"/>
      <c r="S922" s="54"/>
      <c r="T922" s="54"/>
      <c r="U922" s="54">
        <f t="shared" si="123"/>
        <v>0</v>
      </c>
      <c r="V922" s="54">
        <f t="shared" si="124"/>
        <v>0</v>
      </c>
      <c r="W922" s="54">
        <f t="shared" si="125"/>
        <v>0</v>
      </c>
    </row>
    <row r="923" spans="1:23" ht="14.25" hidden="1" customHeight="1" x14ac:dyDescent="0.25">
      <c r="A923" s="52" t="str">
        <f t="shared" si="126"/>
        <v xml:space="preserve">    - текущий ремонт оборудования</v>
      </c>
      <c r="B923" s="52" t="str">
        <f t="shared" si="126"/>
        <v>244</v>
      </c>
      <c r="C923" s="52" t="str">
        <f t="shared" si="126"/>
        <v>225</v>
      </c>
      <c r="D923" s="53"/>
      <c r="E923" s="54"/>
      <c r="F923" s="54"/>
      <c r="G923" s="54"/>
      <c r="I923" s="56"/>
      <c r="R923" s="54"/>
      <c r="S923" s="54"/>
      <c r="T923" s="54"/>
      <c r="U923" s="54">
        <f t="shared" si="123"/>
        <v>0</v>
      </c>
      <c r="V923" s="54">
        <f t="shared" si="124"/>
        <v>0</v>
      </c>
      <c r="W923" s="54">
        <f t="shared" si="125"/>
        <v>0</v>
      </c>
    </row>
    <row r="924" spans="1:23" ht="14.25" hidden="1" customHeight="1" x14ac:dyDescent="0.25">
      <c r="A924" s="52" t="str">
        <f t="shared" si="126"/>
        <v xml:space="preserve">    - испытание диэлектрических средств защиты</v>
      </c>
      <c r="B924" s="52" t="str">
        <f t="shared" si="126"/>
        <v>244</v>
      </c>
      <c r="C924" s="52" t="str">
        <f t="shared" si="126"/>
        <v>225</v>
      </c>
      <c r="D924" s="53"/>
      <c r="E924" s="54"/>
      <c r="F924" s="54"/>
      <c r="G924" s="54"/>
      <c r="I924" s="56"/>
      <c r="R924" s="54"/>
      <c r="S924" s="54"/>
      <c r="T924" s="54"/>
      <c r="U924" s="54">
        <f t="shared" si="123"/>
        <v>0</v>
      </c>
      <c r="V924" s="54">
        <f t="shared" si="124"/>
        <v>0</v>
      </c>
      <c r="W924" s="54">
        <f t="shared" si="125"/>
        <v>0</v>
      </c>
    </row>
    <row r="925" spans="1:23" ht="14.25" hidden="1" customHeight="1" x14ac:dyDescent="0.25">
      <c r="A925" s="52" t="str">
        <f t="shared" si="126"/>
        <v xml:space="preserve">    - гидравлические испытания пожарных рукавов</v>
      </c>
      <c r="B925" s="52" t="str">
        <f t="shared" si="126"/>
        <v>244</v>
      </c>
      <c r="C925" s="52" t="str">
        <f t="shared" si="126"/>
        <v>225</v>
      </c>
      <c r="D925" s="53"/>
      <c r="E925" s="54"/>
      <c r="F925" s="54"/>
      <c r="G925" s="54"/>
      <c r="I925" s="56"/>
      <c r="R925" s="54"/>
      <c r="S925" s="54"/>
      <c r="T925" s="54"/>
      <c r="U925" s="54">
        <f t="shared" si="123"/>
        <v>0</v>
      </c>
      <c r="V925" s="54">
        <f t="shared" si="124"/>
        <v>0</v>
      </c>
      <c r="W925" s="54">
        <f t="shared" si="125"/>
        <v>0</v>
      </c>
    </row>
    <row r="926" spans="1:23" ht="14.25" hidden="1" customHeight="1" x14ac:dyDescent="0.25">
      <c r="A926" s="52" t="str">
        <f t="shared" si="126"/>
        <v xml:space="preserve">    - монтаж уличного освещения</v>
      </c>
      <c r="B926" s="52" t="str">
        <f t="shared" si="126"/>
        <v>244</v>
      </c>
      <c r="C926" s="52" t="str">
        <f t="shared" si="126"/>
        <v>225</v>
      </c>
      <c r="D926" s="53"/>
      <c r="E926" s="54"/>
      <c r="F926" s="54"/>
      <c r="G926" s="54"/>
      <c r="I926" s="56"/>
      <c r="R926" s="54"/>
      <c r="S926" s="54"/>
      <c r="T926" s="54"/>
      <c r="U926" s="54">
        <f t="shared" si="123"/>
        <v>0</v>
      </c>
      <c r="V926" s="54">
        <f t="shared" si="124"/>
        <v>0</v>
      </c>
      <c r="W926" s="54">
        <f t="shared" si="125"/>
        <v>0</v>
      </c>
    </row>
    <row r="927" spans="1:23" ht="14.25" customHeight="1" x14ac:dyDescent="0.25">
      <c r="A927" s="52" t="str">
        <f t="shared" si="126"/>
        <v xml:space="preserve">    - противоклещевая обработка</v>
      </c>
      <c r="B927" s="52" t="str">
        <f t="shared" si="126"/>
        <v>244</v>
      </c>
      <c r="C927" s="52" t="str">
        <f t="shared" si="126"/>
        <v>225</v>
      </c>
      <c r="D927" s="53"/>
      <c r="E927" s="818">
        <v>3000</v>
      </c>
      <c r="F927" s="818">
        <v>3000</v>
      </c>
      <c r="G927" s="818">
        <v>3000</v>
      </c>
      <c r="I927" s="56"/>
      <c r="R927" s="54"/>
      <c r="S927" s="54"/>
      <c r="T927" s="54"/>
      <c r="U927" s="54">
        <f t="shared" si="123"/>
        <v>3000</v>
      </c>
      <c r="V927" s="54">
        <f t="shared" si="124"/>
        <v>3000</v>
      </c>
      <c r="W927" s="54">
        <f t="shared" si="125"/>
        <v>3000</v>
      </c>
    </row>
    <row r="928" spans="1:23" hidden="1" x14ac:dyDescent="0.25">
      <c r="A928" s="52" t="str">
        <f t="shared" si="126"/>
        <v xml:space="preserve">    - сервисное обслуживание приборов тепла</v>
      </c>
      <c r="B928" s="52" t="str">
        <f t="shared" si="126"/>
        <v>244</v>
      </c>
      <c r="C928" s="52" t="str">
        <f t="shared" si="126"/>
        <v>225</v>
      </c>
      <c r="D928" s="53"/>
      <c r="E928" s="54"/>
      <c r="F928" s="54"/>
      <c r="G928" s="54"/>
      <c r="I928" s="56"/>
      <c r="R928" s="54"/>
      <c r="S928" s="54"/>
      <c r="T928" s="54"/>
      <c r="U928" s="54">
        <f t="shared" ref="U928:U952" si="127">E928-R928</f>
        <v>0</v>
      </c>
      <c r="V928" s="54">
        <f t="shared" ref="V928:V952" si="128">F928-S928</f>
        <v>0</v>
      </c>
      <c r="W928" s="54">
        <f t="shared" ref="W928:W952" si="129">G928-T928</f>
        <v>0</v>
      </c>
    </row>
    <row r="929" spans="1:23" s="45" customFormat="1" x14ac:dyDescent="0.25">
      <c r="A929" s="52" t="str">
        <f t="shared" si="126"/>
        <v xml:space="preserve"> - прочие работы, услуги, всего:</v>
      </c>
      <c r="B929" s="52" t="str">
        <f t="shared" si="126"/>
        <v>244</v>
      </c>
      <c r="C929" s="52" t="str">
        <f t="shared" si="126"/>
        <v>226</v>
      </c>
      <c r="D929" s="104"/>
      <c r="E929" s="62">
        <f>SUM(E930:E945)</f>
        <v>19151</v>
      </c>
      <c r="F929" s="62">
        <f>SUM(F930:F945)</f>
        <v>15200</v>
      </c>
      <c r="G929" s="62">
        <f>SUM(G930:G945)</f>
        <v>15200</v>
      </c>
      <c r="H929" s="63"/>
      <c r="I929" s="63"/>
      <c r="R929" s="62"/>
      <c r="S929" s="62"/>
      <c r="T929" s="62"/>
      <c r="U929" s="62">
        <f t="shared" si="127"/>
        <v>19151</v>
      </c>
      <c r="V929" s="62">
        <f t="shared" si="128"/>
        <v>15200</v>
      </c>
      <c r="W929" s="62">
        <f t="shared" si="129"/>
        <v>15200</v>
      </c>
    </row>
    <row r="930" spans="1:23" s="58" customFormat="1" hidden="1" x14ac:dyDescent="0.25">
      <c r="A930" s="52" t="str">
        <f t="shared" si="126"/>
        <v xml:space="preserve">    - специальная оценка условий труда</v>
      </c>
      <c r="B930" s="52" t="str">
        <f t="shared" si="126"/>
        <v>244</v>
      </c>
      <c r="C930" s="52" t="str">
        <f t="shared" si="126"/>
        <v>226</v>
      </c>
      <c r="D930" s="53"/>
      <c r="E930" s="54"/>
      <c r="F930" s="54"/>
      <c r="G930" s="54"/>
      <c r="H930" s="49"/>
      <c r="I930" s="56"/>
      <c r="R930" s="54"/>
      <c r="S930" s="54"/>
      <c r="T930" s="54"/>
      <c r="U930" s="54">
        <f t="shared" si="127"/>
        <v>0</v>
      </c>
      <c r="V930" s="54">
        <f t="shared" si="128"/>
        <v>0</v>
      </c>
      <c r="W930" s="54">
        <f t="shared" si="129"/>
        <v>0</v>
      </c>
    </row>
    <row r="931" spans="1:23" s="58" customFormat="1" ht="27.6" hidden="1" x14ac:dyDescent="0.25">
      <c r="A931" s="52" t="str">
        <f t="shared" ref="A931:C950" si="130">A121</f>
        <v xml:space="preserve">    - услуги автотранспорта (доставка строительных материалов, вывоз веток и пр.)</v>
      </c>
      <c r="B931" s="52" t="str">
        <f t="shared" si="130"/>
        <v>244</v>
      </c>
      <c r="C931" s="52" t="str">
        <f t="shared" si="130"/>
        <v>226</v>
      </c>
      <c r="D931" s="53"/>
      <c r="E931" s="54"/>
      <c r="F931" s="54"/>
      <c r="G931" s="54"/>
      <c r="H931" s="49"/>
      <c r="I931" s="56"/>
      <c r="R931" s="54"/>
      <c r="S931" s="54"/>
      <c r="T931" s="54"/>
      <c r="U931" s="54">
        <f t="shared" si="127"/>
        <v>0</v>
      </c>
      <c r="V931" s="54">
        <f t="shared" si="128"/>
        <v>0</v>
      </c>
      <c r="W931" s="54">
        <f t="shared" si="129"/>
        <v>0</v>
      </c>
    </row>
    <row r="932" spans="1:23" s="58" customFormat="1" hidden="1" x14ac:dyDescent="0.25">
      <c r="A932" s="52" t="str">
        <f t="shared" si="130"/>
        <v xml:space="preserve">    - ПО (СБИС)</v>
      </c>
      <c r="B932" s="52" t="str">
        <f t="shared" si="130"/>
        <v>244</v>
      </c>
      <c r="C932" s="52" t="str">
        <f t="shared" si="130"/>
        <v>226</v>
      </c>
      <c r="D932" s="53"/>
      <c r="E932" s="54"/>
      <c r="F932" s="54"/>
      <c r="G932" s="54"/>
      <c r="H932" s="49"/>
      <c r="I932" s="56"/>
      <c r="R932" s="54"/>
      <c r="S932" s="54"/>
      <c r="T932" s="54"/>
      <c r="U932" s="54">
        <f t="shared" si="127"/>
        <v>0</v>
      </c>
      <c r="V932" s="54">
        <f t="shared" si="128"/>
        <v>0</v>
      </c>
      <c r="W932" s="54">
        <f t="shared" si="129"/>
        <v>0</v>
      </c>
    </row>
    <row r="933" spans="1:23" s="58" customFormat="1" hidden="1" x14ac:dyDescent="0.25">
      <c r="A933" s="52" t="str">
        <f t="shared" si="130"/>
        <v xml:space="preserve">    - организация питания</v>
      </c>
      <c r="B933" s="52" t="str">
        <f t="shared" si="130"/>
        <v>244</v>
      </c>
      <c r="C933" s="52" t="str">
        <f t="shared" si="130"/>
        <v>226</v>
      </c>
      <c r="D933" s="53"/>
      <c r="E933" s="54"/>
      <c r="F933" s="54"/>
      <c r="G933" s="54"/>
      <c r="H933" s="49"/>
      <c r="I933" s="56"/>
      <c r="R933" s="54"/>
      <c r="S933" s="54"/>
      <c r="T933" s="54"/>
      <c r="U933" s="54">
        <f t="shared" si="127"/>
        <v>0</v>
      </c>
      <c r="V933" s="54">
        <f t="shared" si="128"/>
        <v>0</v>
      </c>
      <c r="W933" s="54">
        <f t="shared" si="129"/>
        <v>0</v>
      </c>
    </row>
    <row r="934" spans="1:23" s="58" customFormat="1" ht="27.6" hidden="1" x14ac:dyDescent="0.25">
      <c r="A934" s="52" t="str">
        <f t="shared" si="130"/>
        <v xml:space="preserve">    - расчет проектно-сметной документации (ремонт крыльца, речевое оповещение)</v>
      </c>
      <c r="B934" s="52" t="str">
        <f t="shared" si="130"/>
        <v>244</v>
      </c>
      <c r="C934" s="52" t="str">
        <f t="shared" si="130"/>
        <v>226</v>
      </c>
      <c r="D934" s="53"/>
      <c r="E934" s="54"/>
      <c r="F934" s="54"/>
      <c r="G934" s="54"/>
      <c r="H934" s="49"/>
      <c r="I934" s="56"/>
      <c r="R934" s="54"/>
      <c r="S934" s="54"/>
      <c r="T934" s="54"/>
      <c r="U934" s="54">
        <f t="shared" si="127"/>
        <v>0</v>
      </c>
      <c r="V934" s="54">
        <f t="shared" si="128"/>
        <v>0</v>
      </c>
      <c r="W934" s="54">
        <f t="shared" si="129"/>
        <v>0</v>
      </c>
    </row>
    <row r="935" spans="1:23" s="58" customFormat="1" hidden="1" x14ac:dyDescent="0.25">
      <c r="A935" s="52" t="str">
        <f t="shared" si="130"/>
        <v xml:space="preserve">    - оплата услуг бухгалтерии</v>
      </c>
      <c r="B935" s="52" t="str">
        <f t="shared" si="130"/>
        <v>244</v>
      </c>
      <c r="C935" s="52" t="str">
        <f t="shared" si="130"/>
        <v>226</v>
      </c>
      <c r="D935" s="53"/>
      <c r="E935" s="54"/>
      <c r="F935" s="54"/>
      <c r="G935" s="54"/>
      <c r="H935" s="49"/>
      <c r="I935" s="56"/>
      <c r="R935" s="54"/>
      <c r="S935" s="54"/>
      <c r="T935" s="54"/>
      <c r="U935" s="54">
        <f t="shared" si="127"/>
        <v>0</v>
      </c>
      <c r="V935" s="54">
        <f t="shared" si="128"/>
        <v>0</v>
      </c>
      <c r="W935" s="54">
        <f t="shared" si="129"/>
        <v>0</v>
      </c>
    </row>
    <row r="936" spans="1:23" s="58" customFormat="1" x14ac:dyDescent="0.25">
      <c r="A936" s="52" t="str">
        <f t="shared" si="130"/>
        <v xml:space="preserve">    - услуги банка</v>
      </c>
      <c r="B936" s="52" t="str">
        <f t="shared" si="130"/>
        <v>244</v>
      </c>
      <c r="C936" s="52" t="str">
        <f t="shared" si="130"/>
        <v>226</v>
      </c>
      <c r="D936" s="53"/>
      <c r="E936" s="818">
        <f>400000*1.3%</f>
        <v>5200</v>
      </c>
      <c r="F936" s="818">
        <f t="shared" ref="F936:G936" si="131">400000*1.3%</f>
        <v>5200</v>
      </c>
      <c r="G936" s="818">
        <f t="shared" si="131"/>
        <v>5200</v>
      </c>
      <c r="H936" s="49"/>
      <c r="I936" s="56"/>
      <c r="R936" s="54"/>
      <c r="S936" s="54"/>
      <c r="T936" s="54"/>
      <c r="U936" s="54">
        <f t="shared" si="127"/>
        <v>5200</v>
      </c>
      <c r="V936" s="54">
        <f t="shared" si="128"/>
        <v>5200</v>
      </c>
      <c r="W936" s="54">
        <f t="shared" si="129"/>
        <v>5200</v>
      </c>
    </row>
    <row r="937" spans="1:23" s="58" customFormat="1" x14ac:dyDescent="0.25">
      <c r="A937" s="52" t="str">
        <f>A127</f>
        <v xml:space="preserve">    - обслуживание компьютерных программ</v>
      </c>
      <c r="B937" s="52" t="str">
        <f t="shared" si="130"/>
        <v>244</v>
      </c>
      <c r="C937" s="52" t="str">
        <f t="shared" si="130"/>
        <v>226</v>
      </c>
      <c r="D937" s="53"/>
      <c r="E937" s="818">
        <f>10000</f>
        <v>10000</v>
      </c>
      <c r="F937" s="818">
        <v>10000</v>
      </c>
      <c r="G937" s="818">
        <v>10000</v>
      </c>
      <c r="H937" s="49"/>
      <c r="I937" s="56"/>
      <c r="R937" s="54"/>
      <c r="S937" s="54"/>
      <c r="T937" s="54"/>
      <c r="U937" s="54">
        <f t="shared" si="127"/>
        <v>10000</v>
      </c>
      <c r="V937" s="54">
        <f t="shared" si="128"/>
        <v>10000</v>
      </c>
      <c r="W937" s="54">
        <f t="shared" si="129"/>
        <v>10000</v>
      </c>
    </row>
    <row r="938" spans="1:23" x14ac:dyDescent="0.25">
      <c r="A938" s="52" t="str">
        <f t="shared" si="130"/>
        <v xml:space="preserve">    - установка сигнализации</v>
      </c>
      <c r="B938" s="52" t="str">
        <f t="shared" si="130"/>
        <v>244</v>
      </c>
      <c r="C938" s="52" t="str">
        <f t="shared" si="130"/>
        <v>226</v>
      </c>
      <c r="D938" s="53"/>
      <c r="E938" s="836">
        <v>3951</v>
      </c>
      <c r="F938" s="54"/>
      <c r="G938" s="54"/>
      <c r="I938" s="56"/>
      <c r="R938" s="54"/>
      <c r="S938" s="54"/>
      <c r="T938" s="54"/>
      <c r="U938" s="54">
        <f t="shared" si="127"/>
        <v>3951</v>
      </c>
      <c r="V938" s="54">
        <f t="shared" si="128"/>
        <v>0</v>
      </c>
      <c r="W938" s="54">
        <f t="shared" si="129"/>
        <v>0</v>
      </c>
    </row>
    <row r="939" spans="1:23" hidden="1" x14ac:dyDescent="0.25">
      <c r="A939" s="52" t="str">
        <f t="shared" si="130"/>
        <v xml:space="preserve">    - оказание консалтинговых услуг</v>
      </c>
      <c r="B939" s="52" t="str">
        <f t="shared" si="130"/>
        <v>244</v>
      </c>
      <c r="C939" s="52" t="str">
        <f t="shared" si="130"/>
        <v>226</v>
      </c>
      <c r="D939" s="53"/>
      <c r="E939" s="54"/>
      <c r="F939" s="54"/>
      <c r="G939" s="54"/>
      <c r="I939" s="56"/>
      <c r="R939" s="54"/>
      <c r="S939" s="54"/>
      <c r="T939" s="54"/>
      <c r="U939" s="54">
        <f t="shared" si="127"/>
        <v>0</v>
      </c>
      <c r="V939" s="54">
        <f t="shared" si="128"/>
        <v>0</v>
      </c>
      <c r="W939" s="54">
        <f t="shared" si="129"/>
        <v>0</v>
      </c>
    </row>
    <row r="940" spans="1:23" ht="27.6" hidden="1" x14ac:dyDescent="0.25">
      <c r="A940" s="52" t="str">
        <f t="shared" si="130"/>
        <v xml:space="preserve">    - монтаж решетчатой металлической двери в тепловом узле</v>
      </c>
      <c r="B940" s="52" t="str">
        <f t="shared" si="130"/>
        <v>244</v>
      </c>
      <c r="C940" s="52" t="str">
        <f t="shared" si="130"/>
        <v>226</v>
      </c>
      <c r="D940" s="53"/>
      <c r="E940" s="54"/>
      <c r="F940" s="54"/>
      <c r="G940" s="54"/>
      <c r="I940" s="56"/>
      <c r="R940" s="54"/>
      <c r="S940" s="54"/>
      <c r="T940" s="54"/>
      <c r="U940" s="54">
        <f t="shared" si="127"/>
        <v>0</v>
      </c>
      <c r="V940" s="54">
        <f t="shared" si="128"/>
        <v>0</v>
      </c>
      <c r="W940" s="54">
        <f t="shared" si="129"/>
        <v>0</v>
      </c>
    </row>
    <row r="941" spans="1:23" hidden="1" x14ac:dyDescent="0.25">
      <c r="A941" s="52" t="str">
        <f t="shared" si="130"/>
        <v xml:space="preserve">    - мониторинг охранно-пожарной сигнализации</v>
      </c>
      <c r="B941" s="52" t="str">
        <f t="shared" si="130"/>
        <v>244</v>
      </c>
      <c r="C941" s="52" t="str">
        <f t="shared" si="130"/>
        <v>226</v>
      </c>
      <c r="D941" s="53"/>
      <c r="E941" s="54"/>
      <c r="F941" s="54"/>
      <c r="G941" s="54"/>
      <c r="I941" s="56"/>
      <c r="R941" s="54"/>
      <c r="S941" s="54"/>
      <c r="T941" s="54"/>
      <c r="U941" s="54">
        <f t="shared" si="127"/>
        <v>0</v>
      </c>
      <c r="V941" s="54">
        <f t="shared" si="128"/>
        <v>0</v>
      </c>
      <c r="W941" s="54">
        <f t="shared" si="129"/>
        <v>0</v>
      </c>
    </row>
    <row r="942" spans="1:23" hidden="1" x14ac:dyDescent="0.25">
      <c r="A942" s="52" t="str">
        <f t="shared" si="130"/>
        <v xml:space="preserve">    - переплет документов</v>
      </c>
      <c r="B942" s="52" t="str">
        <f t="shared" si="130"/>
        <v>244</v>
      </c>
      <c r="C942" s="52" t="str">
        <f t="shared" si="130"/>
        <v>226</v>
      </c>
      <c r="D942" s="53"/>
      <c r="E942" s="54"/>
      <c r="F942" s="54"/>
      <c r="G942" s="54"/>
      <c r="I942" s="56"/>
      <c r="R942" s="54"/>
      <c r="S942" s="54"/>
      <c r="T942" s="54"/>
      <c r="U942" s="54">
        <f t="shared" si="127"/>
        <v>0</v>
      </c>
      <c r="V942" s="54">
        <f t="shared" si="128"/>
        <v>0</v>
      </c>
      <c r="W942" s="54">
        <f t="shared" si="129"/>
        <v>0</v>
      </c>
    </row>
    <row r="943" spans="1:23" hidden="1" x14ac:dyDescent="0.25">
      <c r="A943" s="52" t="str">
        <f t="shared" si="130"/>
        <v xml:space="preserve">    - вневедомственная охрана</v>
      </c>
      <c r="B943" s="52" t="str">
        <f t="shared" si="130"/>
        <v>244</v>
      </c>
      <c r="C943" s="52" t="str">
        <f t="shared" si="130"/>
        <v>226</v>
      </c>
      <c r="D943" s="53"/>
      <c r="E943" s="54"/>
      <c r="F943" s="54"/>
      <c r="G943" s="54"/>
      <c r="I943" s="56"/>
      <c r="R943" s="54"/>
      <c r="S943" s="54"/>
      <c r="T943" s="54"/>
      <c r="U943" s="54">
        <f t="shared" si="127"/>
        <v>0</v>
      </c>
      <c r="V943" s="54">
        <f t="shared" si="128"/>
        <v>0</v>
      </c>
      <c r="W943" s="54">
        <f t="shared" si="129"/>
        <v>0</v>
      </c>
    </row>
    <row r="944" spans="1:23" hidden="1" x14ac:dyDescent="0.25">
      <c r="A944" s="52" t="str">
        <f t="shared" si="130"/>
        <v xml:space="preserve">    - лицензированная охрана</v>
      </c>
      <c r="B944" s="52" t="str">
        <f t="shared" si="130"/>
        <v>244</v>
      </c>
      <c r="C944" s="52" t="str">
        <f t="shared" si="130"/>
        <v>226</v>
      </c>
      <c r="D944" s="53"/>
      <c r="E944" s="54"/>
      <c r="F944" s="54"/>
      <c r="G944" s="54"/>
      <c r="I944" s="56"/>
      <c r="R944" s="54"/>
      <c r="S944" s="54"/>
      <c r="T944" s="54"/>
      <c r="U944" s="54">
        <f t="shared" si="127"/>
        <v>0</v>
      </c>
      <c r="V944" s="54">
        <f t="shared" si="128"/>
        <v>0</v>
      </c>
      <c r="W944" s="54">
        <f t="shared" si="129"/>
        <v>0</v>
      </c>
    </row>
    <row r="945" spans="1:23" hidden="1" x14ac:dyDescent="0.25">
      <c r="A945" s="52" t="str">
        <f t="shared" si="130"/>
        <v xml:space="preserve">    - курсы повышения квалификации</v>
      </c>
      <c r="B945" s="52" t="str">
        <f t="shared" si="130"/>
        <v>244</v>
      </c>
      <c r="C945" s="52" t="str">
        <f t="shared" si="130"/>
        <v>226</v>
      </c>
      <c r="D945" s="53"/>
      <c r="E945" s="54"/>
      <c r="F945" s="54"/>
      <c r="G945" s="54"/>
      <c r="I945" s="56"/>
      <c r="R945" s="54"/>
      <c r="S945" s="54"/>
      <c r="T945" s="54"/>
      <c r="U945" s="54">
        <f t="shared" si="127"/>
        <v>0</v>
      </c>
      <c r="V945" s="54">
        <f t="shared" si="128"/>
        <v>0</v>
      </c>
      <c r="W945" s="54">
        <f t="shared" si="129"/>
        <v>0</v>
      </c>
    </row>
    <row r="946" spans="1:23" hidden="1" x14ac:dyDescent="0.25">
      <c r="A946" s="52" t="str">
        <f t="shared" si="130"/>
        <v xml:space="preserve">    - монтаж охранно-пожарной сигнализации</v>
      </c>
      <c r="B946" s="52" t="str">
        <f t="shared" si="130"/>
        <v>244</v>
      </c>
      <c r="C946" s="52" t="str">
        <f t="shared" si="130"/>
        <v>228</v>
      </c>
      <c r="D946" s="53"/>
      <c r="E946" s="54"/>
      <c r="F946" s="54"/>
      <c r="G946" s="54"/>
      <c r="I946" s="56"/>
      <c r="R946" s="54"/>
      <c r="S946" s="54"/>
      <c r="T946" s="54"/>
      <c r="U946" s="54">
        <f t="shared" si="127"/>
        <v>0</v>
      </c>
      <c r="V946" s="54">
        <f t="shared" si="128"/>
        <v>0</v>
      </c>
      <c r="W946" s="54">
        <f t="shared" si="129"/>
        <v>0</v>
      </c>
    </row>
    <row r="947" spans="1:23" ht="27.6" hidden="1" x14ac:dyDescent="0.25">
      <c r="A947" s="52" t="str">
        <f t="shared" si="130"/>
        <v xml:space="preserve"> - выплаты ув.сотрудникам и их родственникам (3 дн.б/л, МП)</v>
      </c>
      <c r="B947" s="52" t="str">
        <f t="shared" si="130"/>
        <v>321</v>
      </c>
      <c r="C947" s="52" t="str">
        <f t="shared" si="130"/>
        <v>264</v>
      </c>
      <c r="D947" s="60" t="s">
        <v>37</v>
      </c>
      <c r="E947" s="54"/>
      <c r="F947" s="54"/>
      <c r="G947" s="54"/>
      <c r="I947" s="56"/>
      <c r="R947" s="54"/>
      <c r="S947" s="54"/>
      <c r="T947" s="54"/>
      <c r="U947" s="54">
        <f t="shared" si="127"/>
        <v>0</v>
      </c>
      <c r="V947" s="54">
        <f t="shared" si="128"/>
        <v>0</v>
      </c>
      <c r="W947" s="54">
        <f t="shared" si="129"/>
        <v>0</v>
      </c>
    </row>
    <row r="948" spans="1:23" hidden="1" x14ac:dyDescent="0.25">
      <c r="A948" s="52" t="str">
        <f t="shared" si="130"/>
        <v xml:space="preserve"> - выплата МП неработающим пенсионерам</v>
      </c>
      <c r="B948" s="52" t="str">
        <f t="shared" si="130"/>
        <v>321</v>
      </c>
      <c r="C948" s="52" t="str">
        <f t="shared" si="130"/>
        <v>296</v>
      </c>
      <c r="D948" s="60" t="s">
        <v>37</v>
      </c>
      <c r="E948" s="54"/>
      <c r="F948" s="54"/>
      <c r="G948" s="54"/>
      <c r="I948" s="56"/>
      <c r="R948" s="54"/>
      <c r="S948" s="54"/>
      <c r="T948" s="54"/>
      <c r="U948" s="54">
        <f t="shared" si="127"/>
        <v>0</v>
      </c>
      <c r="V948" s="54">
        <f t="shared" si="128"/>
        <v>0</v>
      </c>
      <c r="W948" s="54">
        <f t="shared" si="129"/>
        <v>0</v>
      </c>
    </row>
    <row r="949" spans="1:23" s="58" customFormat="1" hidden="1" x14ac:dyDescent="0.25">
      <c r="A949" s="52" t="str">
        <f t="shared" si="130"/>
        <v xml:space="preserve"> - прочие налоги и сборы</v>
      </c>
      <c r="B949" s="52" t="str">
        <f t="shared" si="130"/>
        <v>852</v>
      </c>
      <c r="C949" s="52" t="str">
        <f t="shared" si="130"/>
        <v>291</v>
      </c>
      <c r="D949" s="53" t="s">
        <v>37</v>
      </c>
      <c r="E949" s="54"/>
      <c r="F949" s="54"/>
      <c r="G949" s="54"/>
      <c r="H949" s="57"/>
      <c r="I949" s="57"/>
      <c r="R949" s="54"/>
      <c r="S949" s="54"/>
      <c r="T949" s="54"/>
      <c r="U949" s="54">
        <f t="shared" si="127"/>
        <v>0</v>
      </c>
      <c r="V949" s="54">
        <f t="shared" si="128"/>
        <v>0</v>
      </c>
      <c r="W949" s="54">
        <f t="shared" si="129"/>
        <v>0</v>
      </c>
    </row>
    <row r="950" spans="1:23" s="58" customFormat="1" ht="41.4" hidden="1" x14ac:dyDescent="0.25">
      <c r="A950" s="52" t="str">
        <f t="shared" si="130"/>
        <v xml:space="preserve"> - пеня</v>
      </c>
      <c r="B950" s="52" t="str">
        <f t="shared" si="130"/>
        <v>853</v>
      </c>
      <c r="C950" s="52" t="str">
        <f t="shared" si="130"/>
        <v>292,
295,
293</v>
      </c>
      <c r="D950" s="53" t="s">
        <v>37</v>
      </c>
      <c r="E950" s="54"/>
      <c r="F950" s="54"/>
      <c r="G950" s="54"/>
      <c r="I950" s="57"/>
      <c r="R950" s="54"/>
      <c r="S950" s="54"/>
      <c r="T950" s="54"/>
      <c r="U950" s="54">
        <f t="shared" si="127"/>
        <v>0</v>
      </c>
      <c r="V950" s="54">
        <f t="shared" si="128"/>
        <v>0</v>
      </c>
      <c r="W950" s="54">
        <f t="shared" si="129"/>
        <v>0</v>
      </c>
    </row>
    <row r="951" spans="1:23" hidden="1" x14ac:dyDescent="0.25">
      <c r="A951" s="52" t="str">
        <f t="shared" ref="A951:C970" si="132">A141</f>
        <v xml:space="preserve"> - налог на имущество</v>
      </c>
      <c r="B951" s="52" t="str">
        <f t="shared" si="132"/>
        <v>851</v>
      </c>
      <c r="C951" s="52" t="str">
        <f t="shared" si="132"/>
        <v>291</v>
      </c>
      <c r="D951" s="53" t="s">
        <v>37</v>
      </c>
      <c r="E951" s="54"/>
      <c r="F951" s="54"/>
      <c r="G951" s="54"/>
      <c r="H951" s="56"/>
      <c r="I951" s="56"/>
      <c r="R951" s="54"/>
      <c r="S951" s="54"/>
      <c r="T951" s="54"/>
      <c r="U951" s="54">
        <f t="shared" si="127"/>
        <v>0</v>
      </c>
      <c r="V951" s="54">
        <f t="shared" si="128"/>
        <v>0</v>
      </c>
      <c r="W951" s="54">
        <f t="shared" si="129"/>
        <v>0</v>
      </c>
    </row>
    <row r="952" spans="1:23" ht="27.6" hidden="1" x14ac:dyDescent="0.25">
      <c r="A952" s="52" t="str">
        <f t="shared" si="132"/>
        <v xml:space="preserve"> - компенсация расходов (морального вреда) по решению суда</v>
      </c>
      <c r="B952" s="52" t="str">
        <f t="shared" si="132"/>
        <v>831</v>
      </c>
      <c r="C952" s="52" t="str">
        <f t="shared" si="132"/>
        <v>296</v>
      </c>
      <c r="D952" s="53" t="s">
        <v>37</v>
      </c>
      <c r="E952" s="54"/>
      <c r="F952" s="54"/>
      <c r="G952" s="54"/>
      <c r="H952" s="56"/>
      <c r="I952" s="56"/>
      <c r="R952" s="54"/>
      <c r="S952" s="54"/>
      <c r="T952" s="54"/>
      <c r="U952" s="54">
        <f t="shared" si="127"/>
        <v>0</v>
      </c>
      <c r="V952" s="54">
        <f t="shared" si="128"/>
        <v>0</v>
      </c>
      <c r="W952" s="54">
        <f t="shared" si="129"/>
        <v>0</v>
      </c>
    </row>
    <row r="953" spans="1:23" ht="27.6" hidden="1" x14ac:dyDescent="0.25">
      <c r="A953" s="52" t="str">
        <f t="shared" si="132"/>
        <v xml:space="preserve"> - разработка проектно-сметной документации на капитальный ремонт крыши</v>
      </c>
      <c r="B953" s="52" t="str">
        <f t="shared" si="132"/>
        <v>243</v>
      </c>
      <c r="C953" s="52" t="str">
        <f t="shared" si="132"/>
        <v>226</v>
      </c>
      <c r="D953" s="53"/>
      <c r="E953" s="54"/>
      <c r="F953" s="54"/>
      <c r="G953" s="54"/>
      <c r="H953" s="56"/>
      <c r="I953" s="56"/>
      <c r="R953" s="54"/>
      <c r="S953" s="54"/>
      <c r="T953" s="54"/>
      <c r="U953" s="54"/>
      <c r="V953" s="54"/>
      <c r="W953" s="54"/>
    </row>
    <row r="954" spans="1:23" s="118" customFormat="1" x14ac:dyDescent="0.25">
      <c r="A954" s="115" t="str">
        <f t="shared" si="132"/>
        <v xml:space="preserve"> - увеличение стоимости основных средств</v>
      </c>
      <c r="B954" s="115" t="str">
        <f t="shared" si="132"/>
        <v>244</v>
      </c>
      <c r="C954" s="115" t="str">
        <f t="shared" si="132"/>
        <v>310</v>
      </c>
      <c r="D954" s="60"/>
      <c r="E954" s="61">
        <f>SUM(E955:E963)</f>
        <v>80000</v>
      </c>
      <c r="F954" s="61">
        <f>SUM(F955:F963)</f>
        <v>80000</v>
      </c>
      <c r="G954" s="61">
        <f>SUM(G955:G963)</f>
        <v>80000</v>
      </c>
      <c r="H954" s="117">
        <f>E954+E234</f>
        <v>139531.73000000001</v>
      </c>
      <c r="I954" s="117"/>
      <c r="R954" s="61"/>
      <c r="S954" s="61"/>
      <c r="T954" s="61"/>
      <c r="U954" s="61">
        <f t="shared" ref="U954:U985" si="133">E954-R954</f>
        <v>80000</v>
      </c>
      <c r="V954" s="61">
        <f t="shared" ref="V954:V985" si="134">F954-S954</f>
        <v>80000</v>
      </c>
      <c r="W954" s="61">
        <f t="shared" ref="W954:W985" si="135">G954-T954</f>
        <v>80000</v>
      </c>
    </row>
    <row r="955" spans="1:23" s="118" customFormat="1" x14ac:dyDescent="0.25">
      <c r="A955" s="64" t="str">
        <f t="shared" si="132"/>
        <v xml:space="preserve"> - компьютерная техника</v>
      </c>
      <c r="B955" s="64" t="str">
        <f t="shared" si="132"/>
        <v>244</v>
      </c>
      <c r="C955" s="64" t="str">
        <f t="shared" si="132"/>
        <v>310</v>
      </c>
      <c r="D955" s="119"/>
      <c r="E955" s="819">
        <v>25000</v>
      </c>
      <c r="F955" s="819">
        <v>25000</v>
      </c>
      <c r="G955" s="819">
        <v>25000</v>
      </c>
      <c r="H955" s="117"/>
      <c r="I955" s="117"/>
      <c r="R955" s="120"/>
      <c r="S955" s="120"/>
      <c r="T955" s="120"/>
      <c r="U955" s="120">
        <f t="shared" si="133"/>
        <v>25000</v>
      </c>
      <c r="V955" s="120">
        <f t="shared" si="134"/>
        <v>25000</v>
      </c>
      <c r="W955" s="120">
        <f t="shared" si="135"/>
        <v>25000</v>
      </c>
    </row>
    <row r="956" spans="1:23" s="118" customFormat="1" hidden="1" x14ac:dyDescent="0.25">
      <c r="A956" s="64" t="str">
        <f t="shared" si="132"/>
        <v xml:space="preserve"> - кондиционеры</v>
      </c>
      <c r="B956" s="64" t="str">
        <f t="shared" si="132"/>
        <v>244</v>
      </c>
      <c r="C956" s="64" t="str">
        <f t="shared" si="132"/>
        <v>310</v>
      </c>
      <c r="D956" s="119"/>
      <c r="E956" s="120"/>
      <c r="F956" s="120"/>
      <c r="G956" s="120"/>
      <c r="H956" s="117"/>
      <c r="I956" s="117"/>
      <c r="R956" s="120"/>
      <c r="S956" s="120"/>
      <c r="T956" s="120"/>
      <c r="U956" s="120">
        <f t="shared" si="133"/>
        <v>0</v>
      </c>
      <c r="V956" s="120">
        <f t="shared" si="134"/>
        <v>0</v>
      </c>
      <c r="W956" s="120">
        <f t="shared" si="135"/>
        <v>0</v>
      </c>
    </row>
    <row r="957" spans="1:23" s="118" customFormat="1" hidden="1" x14ac:dyDescent="0.25">
      <c r="A957" s="64" t="str">
        <f t="shared" si="132"/>
        <v xml:space="preserve"> - мебель</v>
      </c>
      <c r="B957" s="64" t="str">
        <f t="shared" si="132"/>
        <v>244</v>
      </c>
      <c r="C957" s="64" t="str">
        <f t="shared" si="132"/>
        <v>310</v>
      </c>
      <c r="D957" s="119"/>
      <c r="E957" s="120"/>
      <c r="F957" s="120"/>
      <c r="G957" s="120"/>
      <c r="H957" s="117"/>
      <c r="I957" s="117"/>
      <c r="R957" s="120"/>
      <c r="S957" s="120"/>
      <c r="T957" s="120"/>
      <c r="U957" s="120">
        <f t="shared" si="133"/>
        <v>0</v>
      </c>
      <c r="V957" s="120">
        <f t="shared" si="134"/>
        <v>0</v>
      </c>
      <c r="W957" s="120">
        <f t="shared" si="135"/>
        <v>0</v>
      </c>
    </row>
    <row r="958" spans="1:23" s="118" customFormat="1" x14ac:dyDescent="0.25">
      <c r="A958" s="64" t="str">
        <f t="shared" si="132"/>
        <v xml:space="preserve"> - оборудование</v>
      </c>
      <c r="B958" s="64" t="str">
        <f t="shared" si="132"/>
        <v>244</v>
      </c>
      <c r="C958" s="64" t="str">
        <f t="shared" si="132"/>
        <v>310</v>
      </c>
      <c r="D958" s="119"/>
      <c r="E958" s="819">
        <v>25000</v>
      </c>
      <c r="F958" s="819">
        <v>25000</v>
      </c>
      <c r="G958" s="819">
        <v>25000</v>
      </c>
      <c r="H958" s="117"/>
      <c r="I958" s="117"/>
      <c r="R958" s="120"/>
      <c r="S958" s="120"/>
      <c r="T958" s="120"/>
      <c r="U958" s="120">
        <f t="shared" si="133"/>
        <v>25000</v>
      </c>
      <c r="V958" s="120">
        <f t="shared" si="134"/>
        <v>25000</v>
      </c>
      <c r="W958" s="120">
        <f t="shared" si="135"/>
        <v>25000</v>
      </c>
    </row>
    <row r="959" spans="1:23" s="118" customFormat="1" x14ac:dyDescent="0.25">
      <c r="A959" s="64" t="str">
        <f t="shared" si="132"/>
        <v xml:space="preserve"> - инструмент и инвентарь</v>
      </c>
      <c r="B959" s="64" t="str">
        <f t="shared" si="132"/>
        <v>244</v>
      </c>
      <c r="C959" s="64" t="str">
        <f t="shared" si="132"/>
        <v>310</v>
      </c>
      <c r="D959" s="119"/>
      <c r="E959" s="819">
        <v>10000</v>
      </c>
      <c r="F959" s="819">
        <v>10000</v>
      </c>
      <c r="G959" s="819">
        <v>10000</v>
      </c>
      <c r="H959" s="117"/>
      <c r="I959" s="117"/>
      <c r="R959" s="120"/>
      <c r="S959" s="120"/>
      <c r="T959" s="120"/>
      <c r="U959" s="120">
        <f t="shared" si="133"/>
        <v>10000</v>
      </c>
      <c r="V959" s="120">
        <f t="shared" si="134"/>
        <v>10000</v>
      </c>
      <c r="W959" s="120">
        <f t="shared" si="135"/>
        <v>10000</v>
      </c>
    </row>
    <row r="960" spans="1:23" s="118" customFormat="1" hidden="1" x14ac:dyDescent="0.25">
      <c r="A960" s="64" t="str">
        <f t="shared" si="132"/>
        <v xml:space="preserve"> - турникет</v>
      </c>
      <c r="B960" s="64" t="str">
        <f t="shared" si="132"/>
        <v>244</v>
      </c>
      <c r="C960" s="64" t="str">
        <f t="shared" si="132"/>
        <v>310</v>
      </c>
      <c r="D960" s="119"/>
      <c r="E960" s="120"/>
      <c r="F960" s="120"/>
      <c r="G960" s="120"/>
      <c r="H960" s="117"/>
      <c r="I960" s="117"/>
      <c r="R960" s="120"/>
      <c r="S960" s="120"/>
      <c r="T960" s="120"/>
      <c r="U960" s="120">
        <f t="shared" si="133"/>
        <v>0</v>
      </c>
      <c r="V960" s="120">
        <f t="shared" si="134"/>
        <v>0</v>
      </c>
      <c r="W960" s="120">
        <f t="shared" si="135"/>
        <v>0</v>
      </c>
    </row>
    <row r="961" spans="1:23" s="118" customFormat="1" hidden="1" x14ac:dyDescent="0.25">
      <c r="A961" s="64" t="str">
        <f t="shared" si="132"/>
        <v xml:space="preserve"> - жалюзи</v>
      </c>
      <c r="B961" s="64" t="str">
        <f t="shared" si="132"/>
        <v>244</v>
      </c>
      <c r="C961" s="64" t="str">
        <f t="shared" si="132"/>
        <v>310</v>
      </c>
      <c r="D961" s="119"/>
      <c r="E961" s="120"/>
      <c r="F961" s="120"/>
      <c r="G961" s="120"/>
      <c r="H961" s="117"/>
      <c r="I961" s="117"/>
      <c r="R961" s="120"/>
      <c r="S961" s="120"/>
      <c r="T961" s="120"/>
      <c r="U961" s="120">
        <f t="shared" si="133"/>
        <v>0</v>
      </c>
      <c r="V961" s="120">
        <f t="shared" si="134"/>
        <v>0</v>
      </c>
      <c r="W961" s="120">
        <f t="shared" si="135"/>
        <v>0</v>
      </c>
    </row>
    <row r="962" spans="1:23" s="118" customFormat="1" x14ac:dyDescent="0.25">
      <c r="A962" s="64" t="str">
        <f>A152</f>
        <v xml:space="preserve"> - игрушки</v>
      </c>
      <c r="B962" s="64" t="str">
        <f t="shared" si="132"/>
        <v>244</v>
      </c>
      <c r="C962" s="64" t="str">
        <f t="shared" si="132"/>
        <v>310</v>
      </c>
      <c r="D962" s="119"/>
      <c r="E962" s="819">
        <v>20000</v>
      </c>
      <c r="F962" s="819">
        <v>20000</v>
      </c>
      <c r="G962" s="819">
        <v>20000</v>
      </c>
      <c r="H962" s="117"/>
      <c r="I962" s="117"/>
      <c r="R962" s="120"/>
      <c r="S962" s="120"/>
      <c r="T962" s="120"/>
      <c r="U962" s="120">
        <f t="shared" si="133"/>
        <v>20000</v>
      </c>
      <c r="V962" s="120">
        <f t="shared" si="134"/>
        <v>20000</v>
      </c>
      <c r="W962" s="120">
        <f t="shared" si="135"/>
        <v>20000</v>
      </c>
    </row>
    <row r="963" spans="1:23" s="118" customFormat="1" hidden="1" x14ac:dyDescent="0.25">
      <c r="A963" s="64" t="str">
        <f t="shared" si="132"/>
        <v xml:space="preserve"> - металлические входные двери</v>
      </c>
      <c r="B963" s="64" t="str">
        <f t="shared" si="132"/>
        <v>244</v>
      </c>
      <c r="C963" s="64" t="str">
        <f t="shared" si="132"/>
        <v>310</v>
      </c>
      <c r="D963" s="119"/>
      <c r="E963" s="120"/>
      <c r="F963" s="120"/>
      <c r="G963" s="120"/>
      <c r="H963" s="117"/>
      <c r="I963" s="117"/>
      <c r="R963" s="120"/>
      <c r="S963" s="120"/>
      <c r="T963" s="120"/>
      <c r="U963" s="120">
        <f t="shared" si="133"/>
        <v>0</v>
      </c>
      <c r="V963" s="120">
        <f t="shared" si="134"/>
        <v>0</v>
      </c>
      <c r="W963" s="120">
        <f t="shared" si="135"/>
        <v>0</v>
      </c>
    </row>
    <row r="964" spans="1:23" s="45" customFormat="1" ht="27.6" x14ac:dyDescent="0.25">
      <c r="A964" s="52" t="str">
        <f t="shared" si="132"/>
        <v xml:space="preserve"> - увеличение стоимости материальных запасов, всего:</v>
      </c>
      <c r="B964" s="52" t="str">
        <f t="shared" si="132"/>
        <v>244</v>
      </c>
      <c r="C964" s="52" t="str">
        <f t="shared" si="132"/>
        <v>340</v>
      </c>
      <c r="D964" s="104"/>
      <c r="E964" s="62">
        <f>SUM(E965:E979)</f>
        <v>262764.84999999998</v>
      </c>
      <c r="F964" s="62">
        <f>SUM(F965:F979)</f>
        <v>199800</v>
      </c>
      <c r="G964" s="62">
        <f>SUM(G965:G979)</f>
        <v>199800</v>
      </c>
      <c r="H964" s="63">
        <f>E964+E874+E350+E244</f>
        <v>3751198.18</v>
      </c>
      <c r="I964" s="63"/>
      <c r="R964" s="62"/>
      <c r="S964" s="62"/>
      <c r="T964" s="62"/>
      <c r="U964" s="62">
        <f t="shared" si="133"/>
        <v>262764.84999999998</v>
      </c>
      <c r="V964" s="62">
        <f t="shared" si="134"/>
        <v>199800</v>
      </c>
      <c r="W964" s="62">
        <f t="shared" si="135"/>
        <v>199800</v>
      </c>
    </row>
    <row r="965" spans="1:23" s="58" customFormat="1" hidden="1" x14ac:dyDescent="0.25">
      <c r="A965" s="52" t="str">
        <f t="shared" si="132"/>
        <v xml:space="preserve"> - ГСМ</v>
      </c>
      <c r="B965" s="52" t="str">
        <f t="shared" si="132"/>
        <v>244</v>
      </c>
      <c r="C965" s="52" t="str">
        <f t="shared" si="132"/>
        <v>343</v>
      </c>
      <c r="D965" s="53"/>
      <c r="E965" s="54"/>
      <c r="F965" s="54"/>
      <c r="G965" s="54"/>
      <c r="H965" s="57"/>
      <c r="I965" s="57"/>
      <c r="R965" s="54"/>
      <c r="S965" s="54"/>
      <c r="T965" s="54"/>
      <c r="U965" s="54">
        <f t="shared" si="133"/>
        <v>0</v>
      </c>
      <c r="V965" s="54">
        <f t="shared" si="134"/>
        <v>0</v>
      </c>
      <c r="W965" s="54">
        <f t="shared" si="135"/>
        <v>0</v>
      </c>
    </row>
    <row r="966" spans="1:23" s="58" customFormat="1" x14ac:dyDescent="0.25">
      <c r="A966" s="52" t="str">
        <f t="shared" si="132"/>
        <v xml:space="preserve"> - продукты питания</v>
      </c>
      <c r="B966" s="52" t="str">
        <f t="shared" si="132"/>
        <v>244</v>
      </c>
      <c r="C966" s="52" t="str">
        <f>C156</f>
        <v>342</v>
      </c>
      <c r="D966" s="53"/>
      <c r="E966" s="818">
        <v>60000</v>
      </c>
      <c r="F966" s="818">
        <v>60000</v>
      </c>
      <c r="G966" s="818">
        <v>60000</v>
      </c>
      <c r="H966" s="57"/>
      <c r="I966" s="57"/>
      <c r="R966" s="54"/>
      <c r="S966" s="54"/>
      <c r="T966" s="54"/>
      <c r="U966" s="54">
        <f t="shared" si="133"/>
        <v>60000</v>
      </c>
      <c r="V966" s="54">
        <f t="shared" si="134"/>
        <v>60000</v>
      </c>
      <c r="W966" s="54">
        <f t="shared" si="135"/>
        <v>60000</v>
      </c>
    </row>
    <row r="967" spans="1:23" s="58" customFormat="1" hidden="1" x14ac:dyDescent="0.25">
      <c r="A967" s="52" t="str">
        <f t="shared" si="132"/>
        <v xml:space="preserve"> - расходные материалы к комп.технике</v>
      </c>
      <c r="B967" s="52" t="str">
        <f t="shared" si="132"/>
        <v>244</v>
      </c>
      <c r="C967" s="52" t="str">
        <f t="shared" si="132"/>
        <v>346</v>
      </c>
      <c r="D967" s="53"/>
      <c r="E967" s="54"/>
      <c r="F967" s="54"/>
      <c r="G967" s="54"/>
      <c r="H967" s="57"/>
      <c r="I967" s="57"/>
      <c r="R967" s="54"/>
      <c r="S967" s="54"/>
      <c r="T967" s="54"/>
      <c r="U967" s="54">
        <f t="shared" si="133"/>
        <v>0</v>
      </c>
      <c r="V967" s="54">
        <f t="shared" si="134"/>
        <v>0</v>
      </c>
      <c r="W967" s="54">
        <f t="shared" si="135"/>
        <v>0</v>
      </c>
    </row>
    <row r="968" spans="1:23" s="58" customFormat="1" hidden="1" x14ac:dyDescent="0.25">
      <c r="A968" s="52" t="str">
        <f t="shared" si="132"/>
        <v xml:space="preserve"> - медикаменты</v>
      </c>
      <c r="B968" s="52" t="str">
        <f t="shared" si="132"/>
        <v>244</v>
      </c>
      <c r="C968" s="52" t="str">
        <f t="shared" si="132"/>
        <v>341</v>
      </c>
      <c r="D968" s="53"/>
      <c r="E968" s="54"/>
      <c r="F968" s="54"/>
      <c r="G968" s="54"/>
      <c r="H968" s="57"/>
      <c r="I968" s="57"/>
      <c r="R968" s="54"/>
      <c r="S968" s="54"/>
      <c r="T968" s="54"/>
      <c r="U968" s="54">
        <f t="shared" si="133"/>
        <v>0</v>
      </c>
      <c r="V968" s="54">
        <f t="shared" si="134"/>
        <v>0</v>
      </c>
      <c r="W968" s="54">
        <f t="shared" si="135"/>
        <v>0</v>
      </c>
    </row>
    <row r="969" spans="1:23" s="58" customFormat="1" x14ac:dyDescent="0.25">
      <c r="A969" s="52" t="str">
        <f t="shared" si="132"/>
        <v xml:space="preserve"> - строительные материалы</v>
      </c>
      <c r="B969" s="52" t="str">
        <f t="shared" si="132"/>
        <v>244</v>
      </c>
      <c r="C969" s="52" t="str">
        <f t="shared" si="132"/>
        <v>344</v>
      </c>
      <c r="D969" s="53"/>
      <c r="E969" s="818">
        <f>40000+65036.85-5200</f>
        <v>99836.85</v>
      </c>
      <c r="F969" s="818">
        <f>40000-5200</f>
        <v>34800</v>
      </c>
      <c r="G969" s="818">
        <f>40000-5200</f>
        <v>34800</v>
      </c>
      <c r="H969" s="57"/>
      <c r="I969" s="57"/>
      <c r="R969" s="54"/>
      <c r="S969" s="54"/>
      <c r="T969" s="54"/>
      <c r="U969" s="54">
        <f t="shared" si="133"/>
        <v>99836.85</v>
      </c>
      <c r="V969" s="54">
        <f t="shared" si="134"/>
        <v>34800</v>
      </c>
      <c r="W969" s="54">
        <f t="shared" si="135"/>
        <v>34800</v>
      </c>
    </row>
    <row r="970" spans="1:23" s="58" customFormat="1" hidden="1" x14ac:dyDescent="0.25">
      <c r="A970" s="52" t="str">
        <f t="shared" si="132"/>
        <v xml:space="preserve"> - ворота, калитка</v>
      </c>
      <c r="B970" s="52" t="str">
        <f t="shared" si="132"/>
        <v>244</v>
      </c>
      <c r="C970" s="52" t="str">
        <f t="shared" si="132"/>
        <v>344</v>
      </c>
      <c r="D970" s="53"/>
      <c r="E970" s="54"/>
      <c r="F970" s="54"/>
      <c r="G970" s="54"/>
      <c r="H970" s="57"/>
      <c r="I970" s="57"/>
      <c r="R970" s="54"/>
      <c r="S970" s="54"/>
      <c r="T970" s="54"/>
      <c r="U970" s="54">
        <f t="shared" si="133"/>
        <v>0</v>
      </c>
      <c r="V970" s="54">
        <f t="shared" si="134"/>
        <v>0</v>
      </c>
      <c r="W970" s="54">
        <f t="shared" si="135"/>
        <v>0</v>
      </c>
    </row>
    <row r="971" spans="1:23" s="58" customFormat="1" x14ac:dyDescent="0.25">
      <c r="A971" s="52" t="str">
        <f t="shared" ref="A971:C979" si="136">A161</f>
        <v xml:space="preserve"> - канцелярские товары</v>
      </c>
      <c r="B971" s="52" t="str">
        <f t="shared" si="136"/>
        <v>244</v>
      </c>
      <c r="C971" s="52" t="str">
        <f t="shared" si="136"/>
        <v>346</v>
      </c>
      <c r="D971" s="53"/>
      <c r="E971" s="818">
        <v>5000</v>
      </c>
      <c r="F971" s="818">
        <v>5000</v>
      </c>
      <c r="G971" s="818">
        <v>5000</v>
      </c>
      <c r="H971" s="57"/>
      <c r="I971" s="57"/>
      <c r="R971" s="54"/>
      <c r="S971" s="54"/>
      <c r="T971" s="54"/>
      <c r="U971" s="54">
        <f t="shared" si="133"/>
        <v>5000</v>
      </c>
      <c r="V971" s="54">
        <f t="shared" si="134"/>
        <v>5000</v>
      </c>
      <c r="W971" s="54">
        <f t="shared" si="135"/>
        <v>5000</v>
      </c>
    </row>
    <row r="972" spans="1:23" s="58" customFormat="1" hidden="1" x14ac:dyDescent="0.25">
      <c r="A972" s="52" t="str">
        <f t="shared" si="136"/>
        <v xml:space="preserve"> - хозяйственные товары, электрика</v>
      </c>
      <c r="B972" s="52" t="str">
        <f t="shared" si="136"/>
        <v>244</v>
      </c>
      <c r="C972" s="52" t="str">
        <f t="shared" si="136"/>
        <v>346</v>
      </c>
      <c r="D972" s="53"/>
      <c r="E972" s="54"/>
      <c r="F972" s="54"/>
      <c r="G972" s="54"/>
      <c r="H972" s="57"/>
      <c r="I972" s="57"/>
      <c r="R972" s="54"/>
      <c r="S972" s="54"/>
      <c r="T972" s="54"/>
      <c r="U972" s="54">
        <f t="shared" si="133"/>
        <v>0</v>
      </c>
      <c r="V972" s="54">
        <f t="shared" si="134"/>
        <v>0</v>
      </c>
      <c r="W972" s="54">
        <f t="shared" si="135"/>
        <v>0</v>
      </c>
    </row>
    <row r="973" spans="1:23" s="58" customFormat="1" hidden="1" x14ac:dyDescent="0.25">
      <c r="A973" s="52" t="str">
        <f t="shared" si="136"/>
        <v xml:space="preserve"> - бланки</v>
      </c>
      <c r="B973" s="52" t="str">
        <f t="shared" si="136"/>
        <v>244</v>
      </c>
      <c r="C973" s="52" t="str">
        <f t="shared" si="136"/>
        <v>346</v>
      </c>
      <c r="D973" s="53"/>
      <c r="E973" s="54"/>
      <c r="F973" s="54"/>
      <c r="G973" s="54"/>
      <c r="H973" s="57"/>
      <c r="I973" s="57"/>
      <c r="R973" s="54"/>
      <c r="S973" s="54"/>
      <c r="T973" s="54"/>
      <c r="U973" s="54">
        <f t="shared" si="133"/>
        <v>0</v>
      </c>
      <c r="V973" s="54">
        <f t="shared" si="134"/>
        <v>0</v>
      </c>
      <c r="W973" s="54">
        <f t="shared" si="135"/>
        <v>0</v>
      </c>
    </row>
    <row r="974" spans="1:23" s="58" customFormat="1" x14ac:dyDescent="0.25">
      <c r="A974" s="52" t="str">
        <f t="shared" si="136"/>
        <v xml:space="preserve"> - моющие</v>
      </c>
      <c r="B974" s="52" t="str">
        <f t="shared" si="136"/>
        <v>244</v>
      </c>
      <c r="C974" s="52" t="str">
        <f t="shared" si="136"/>
        <v>346</v>
      </c>
      <c r="D974" s="53"/>
      <c r="E974" s="832">
        <f>50000-2072</f>
        <v>47928</v>
      </c>
      <c r="F974" s="818">
        <v>50000</v>
      </c>
      <c r="G974" s="818">
        <v>50000</v>
      </c>
      <c r="H974" s="57"/>
      <c r="I974" s="57"/>
      <c r="R974" s="54"/>
      <c r="S974" s="54"/>
      <c r="T974" s="54"/>
      <c r="U974" s="54">
        <f t="shared" si="133"/>
        <v>47928</v>
      </c>
      <c r="V974" s="54">
        <f t="shared" si="134"/>
        <v>50000</v>
      </c>
      <c r="W974" s="54">
        <f t="shared" si="135"/>
        <v>50000</v>
      </c>
    </row>
    <row r="975" spans="1:23" s="58" customFormat="1" hidden="1" x14ac:dyDescent="0.25">
      <c r="A975" s="52" t="str">
        <f t="shared" si="136"/>
        <v xml:space="preserve"> - новогодние подарки детям сотрудников</v>
      </c>
      <c r="B975" s="52" t="str">
        <f t="shared" si="136"/>
        <v>244</v>
      </c>
      <c r="C975" s="52" t="str">
        <f t="shared" si="136"/>
        <v>349</v>
      </c>
      <c r="D975" s="53"/>
      <c r="E975" s="54"/>
      <c r="F975" s="54"/>
      <c r="G975" s="54"/>
      <c r="H975" s="57"/>
      <c r="I975" s="57"/>
      <c r="R975" s="54"/>
      <c r="S975" s="54"/>
      <c r="T975" s="54"/>
      <c r="U975" s="54">
        <f t="shared" si="133"/>
        <v>0</v>
      </c>
      <c r="V975" s="54">
        <f t="shared" si="134"/>
        <v>0</v>
      </c>
      <c r="W975" s="54">
        <f t="shared" si="135"/>
        <v>0</v>
      </c>
    </row>
    <row r="976" spans="1:23" s="58" customFormat="1" hidden="1" x14ac:dyDescent="0.25">
      <c r="A976" s="52" t="str">
        <f t="shared" si="136"/>
        <v xml:space="preserve"> - новогодние подарки сотрудникам</v>
      </c>
      <c r="B976" s="52" t="str">
        <f t="shared" si="136"/>
        <v>244</v>
      </c>
      <c r="C976" s="52" t="str">
        <f t="shared" si="136"/>
        <v>349</v>
      </c>
      <c r="D976" s="53"/>
      <c r="E976" s="54"/>
      <c r="F976" s="54"/>
      <c r="G976" s="54"/>
      <c r="H976" s="57"/>
      <c r="I976" s="57"/>
      <c r="R976" s="54"/>
      <c r="S976" s="54"/>
      <c r="T976" s="54"/>
      <c r="U976" s="54">
        <f t="shared" si="133"/>
        <v>0</v>
      </c>
      <c r="V976" s="54">
        <f t="shared" si="134"/>
        <v>0</v>
      </c>
      <c r="W976" s="54">
        <f t="shared" si="135"/>
        <v>0</v>
      </c>
    </row>
    <row r="977" spans="1:23" s="58" customFormat="1" hidden="1" x14ac:dyDescent="0.25">
      <c r="A977" s="52" t="str">
        <f t="shared" si="136"/>
        <v xml:space="preserve"> - прочие материальные запасы</v>
      </c>
      <c r="B977" s="52" t="str">
        <f t="shared" si="136"/>
        <v>244</v>
      </c>
      <c r="C977" s="52" t="str">
        <f t="shared" si="136"/>
        <v>346</v>
      </c>
      <c r="D977" s="53"/>
      <c r="E977" s="54"/>
      <c r="F977" s="54"/>
      <c r="G977" s="54"/>
      <c r="H977" s="57"/>
      <c r="I977" s="57"/>
      <c r="R977" s="54"/>
      <c r="S977" s="54"/>
      <c r="T977" s="54"/>
      <c r="U977" s="54">
        <f t="shared" si="133"/>
        <v>0</v>
      </c>
      <c r="V977" s="54">
        <f t="shared" si="134"/>
        <v>0</v>
      </c>
      <c r="W977" s="54">
        <f t="shared" si="135"/>
        <v>0</v>
      </c>
    </row>
    <row r="978" spans="1:23" s="58" customFormat="1" hidden="1" x14ac:dyDescent="0.25">
      <c r="A978" s="52" t="str">
        <f t="shared" si="136"/>
        <v xml:space="preserve"> - спецодежда МОП</v>
      </c>
      <c r="B978" s="52" t="str">
        <f t="shared" si="136"/>
        <v>244</v>
      </c>
      <c r="C978" s="52" t="str">
        <f t="shared" si="136"/>
        <v>345</v>
      </c>
      <c r="D978" s="53"/>
      <c r="E978" s="54"/>
      <c r="F978" s="54"/>
      <c r="G978" s="54"/>
      <c r="H978" s="57"/>
      <c r="I978" s="57"/>
      <c r="R978" s="54"/>
      <c r="S978" s="54"/>
      <c r="T978" s="54"/>
      <c r="U978" s="54">
        <f t="shared" si="133"/>
        <v>0</v>
      </c>
      <c r="V978" s="54">
        <f t="shared" si="134"/>
        <v>0</v>
      </c>
      <c r="W978" s="54">
        <f t="shared" si="135"/>
        <v>0</v>
      </c>
    </row>
    <row r="979" spans="1:23" s="58" customFormat="1" x14ac:dyDescent="0.25">
      <c r="A979" s="52" t="str">
        <f t="shared" si="136"/>
        <v xml:space="preserve"> - запчасти для а/м</v>
      </c>
      <c r="B979" s="52" t="str">
        <f t="shared" si="136"/>
        <v>244</v>
      </c>
      <c r="C979" s="52" t="str">
        <f t="shared" si="136"/>
        <v>346</v>
      </c>
      <c r="D979" s="53"/>
      <c r="E979" s="818">
        <v>50000</v>
      </c>
      <c r="F979" s="818">
        <v>50000</v>
      </c>
      <c r="G979" s="818">
        <v>50000</v>
      </c>
      <c r="H979" s="57"/>
      <c r="I979" s="57"/>
      <c r="R979" s="54"/>
      <c r="S979" s="54"/>
      <c r="T979" s="54"/>
      <c r="U979" s="54">
        <f t="shared" si="133"/>
        <v>50000</v>
      </c>
      <c r="V979" s="54">
        <f t="shared" si="134"/>
        <v>50000</v>
      </c>
      <c r="W979" s="54">
        <f t="shared" si="135"/>
        <v>50000</v>
      </c>
    </row>
    <row r="980" spans="1:23" s="45" customFormat="1" hidden="1" x14ac:dyDescent="0.25">
      <c r="A980" s="88" t="s">
        <v>352</v>
      </c>
      <c r="B980" s="68"/>
      <c r="C980" s="68"/>
      <c r="D980" s="68" t="s">
        <v>37</v>
      </c>
      <c r="E980" s="61">
        <f>SUM(E981,E982,E983,E984,E985,E986,E987,E995,E993,E1019,E1037,E1039,E1040,E1041,E1042,E1044,E1054,E991,E994,E1038,E990,E992,E1036,E1043)</f>
        <v>0</v>
      </c>
      <c r="F980" s="61">
        <f>SUM(F981,F982,F983,F984,F985,F986,F987,F995,F993,F1019,F1037,F1039,F1040,F1041,F1042,F1044,F1054,F991,F994,F1038,F990,F992,F1036,F1043)</f>
        <v>0</v>
      </c>
      <c r="G980" s="61">
        <f>SUM(G981,G982,G983,G984,G985,G986,G987,G995,G993,G1019,G1037,G1039,G1040,G1041,G1042,G1044,G1054,G991,G994,G1038,G990,G992,G1036,G1043)</f>
        <v>0</v>
      </c>
      <c r="R980" s="61"/>
      <c r="S980" s="61"/>
      <c r="T980" s="61"/>
      <c r="U980" s="61">
        <f t="shared" si="133"/>
        <v>0</v>
      </c>
      <c r="V980" s="61">
        <f t="shared" si="134"/>
        <v>0</v>
      </c>
      <c r="W980" s="61">
        <f t="shared" si="135"/>
        <v>0</v>
      </c>
    </row>
    <row r="981" spans="1:23" hidden="1" x14ac:dyDescent="0.25">
      <c r="A981" s="52" t="str">
        <f t="shared" ref="A981:C1000" si="137">A81</f>
        <v xml:space="preserve"> - заработная плата</v>
      </c>
      <c r="B981" s="52" t="str">
        <f t="shared" si="137"/>
        <v>111</v>
      </c>
      <c r="C981" s="52" t="str">
        <f t="shared" si="137"/>
        <v>211</v>
      </c>
      <c r="D981" s="53" t="s">
        <v>37</v>
      </c>
      <c r="E981" s="54"/>
      <c r="F981" s="54"/>
      <c r="G981" s="54"/>
      <c r="H981" s="56"/>
      <c r="R981" s="54"/>
      <c r="S981" s="54"/>
      <c r="T981" s="54"/>
      <c r="U981" s="54">
        <f t="shared" si="133"/>
        <v>0</v>
      </c>
      <c r="V981" s="54">
        <f t="shared" si="134"/>
        <v>0</v>
      </c>
      <c r="W981" s="54">
        <f t="shared" si="135"/>
        <v>0</v>
      </c>
    </row>
    <row r="982" spans="1:23" hidden="1" x14ac:dyDescent="0.25">
      <c r="A982" s="52" t="str">
        <f t="shared" si="137"/>
        <v xml:space="preserve"> - 3 дн б/л за счет работодателя</v>
      </c>
      <c r="B982" s="52" t="str">
        <f t="shared" si="137"/>
        <v>111</v>
      </c>
      <c r="C982" s="52" t="str">
        <f t="shared" si="137"/>
        <v>266</v>
      </c>
      <c r="D982" s="53" t="s">
        <v>37</v>
      </c>
      <c r="E982" s="54"/>
      <c r="F982" s="54"/>
      <c r="G982" s="54"/>
      <c r="H982" s="56"/>
      <c r="R982" s="54"/>
      <c r="S982" s="54"/>
      <c r="T982" s="54"/>
      <c r="U982" s="54">
        <f t="shared" si="133"/>
        <v>0</v>
      </c>
      <c r="V982" s="54">
        <f t="shared" si="134"/>
        <v>0</v>
      </c>
      <c r="W982" s="54">
        <f t="shared" si="135"/>
        <v>0</v>
      </c>
    </row>
    <row r="983" spans="1:23" s="58" customFormat="1" hidden="1" x14ac:dyDescent="0.25">
      <c r="A983" s="52" t="str">
        <f t="shared" si="137"/>
        <v xml:space="preserve"> - пособие по уходу за ребенком</v>
      </c>
      <c r="B983" s="52" t="str">
        <f t="shared" si="137"/>
        <v>112</v>
      </c>
      <c r="C983" s="52" t="str">
        <f t="shared" si="137"/>
        <v>266</v>
      </c>
      <c r="D983" s="53" t="s">
        <v>37</v>
      </c>
      <c r="E983" s="54"/>
      <c r="F983" s="54"/>
      <c r="G983" s="54"/>
      <c r="H983" s="57"/>
      <c r="I983" s="57"/>
      <c r="R983" s="54"/>
      <c r="S983" s="54"/>
      <c r="T983" s="54"/>
      <c r="U983" s="54">
        <f t="shared" si="133"/>
        <v>0</v>
      </c>
      <c r="V983" s="54">
        <f t="shared" si="134"/>
        <v>0</v>
      </c>
      <c r="W983" s="54">
        <f t="shared" si="135"/>
        <v>0</v>
      </c>
    </row>
    <row r="984" spans="1:23" s="58" customFormat="1" hidden="1" x14ac:dyDescent="0.25">
      <c r="A984" s="52" t="str">
        <f t="shared" si="137"/>
        <v xml:space="preserve"> - предварительный мед.осмотр (возм.расх.)</v>
      </c>
      <c r="B984" s="52" t="str">
        <f t="shared" si="137"/>
        <v>112</v>
      </c>
      <c r="C984" s="52" t="str">
        <f t="shared" si="137"/>
        <v>226</v>
      </c>
      <c r="D984" s="53" t="s">
        <v>37</v>
      </c>
      <c r="E984" s="54"/>
      <c r="F984" s="54"/>
      <c r="G984" s="54"/>
      <c r="H984" s="57"/>
      <c r="I984" s="57"/>
      <c r="R984" s="54"/>
      <c r="S984" s="54"/>
      <c r="T984" s="54"/>
      <c r="U984" s="54">
        <f t="shared" si="133"/>
        <v>0</v>
      </c>
      <c r="V984" s="54">
        <f t="shared" si="134"/>
        <v>0</v>
      </c>
      <c r="W984" s="54">
        <f t="shared" si="135"/>
        <v>0</v>
      </c>
    </row>
    <row r="985" spans="1:23" s="58" customFormat="1" hidden="1" x14ac:dyDescent="0.25">
      <c r="A985" s="52" t="str">
        <f t="shared" si="137"/>
        <v xml:space="preserve"> - НДФЛ</v>
      </c>
      <c r="B985" s="52" t="str">
        <f t="shared" si="137"/>
        <v>112</v>
      </c>
      <c r="C985" s="52" t="str">
        <f t="shared" si="137"/>
        <v>266</v>
      </c>
      <c r="D985" s="53" t="s">
        <v>37</v>
      </c>
      <c r="E985" s="54"/>
      <c r="F985" s="54"/>
      <c r="G985" s="54"/>
      <c r="H985" s="57"/>
      <c r="I985" s="57"/>
      <c r="R985" s="54"/>
      <c r="S985" s="54"/>
      <c r="T985" s="54"/>
      <c r="U985" s="54">
        <f t="shared" si="133"/>
        <v>0</v>
      </c>
      <c r="V985" s="54">
        <f t="shared" si="134"/>
        <v>0</v>
      </c>
      <c r="W985" s="54">
        <f t="shared" si="135"/>
        <v>0</v>
      </c>
    </row>
    <row r="986" spans="1:23" hidden="1" x14ac:dyDescent="0.25">
      <c r="A986" s="52" t="str">
        <f t="shared" si="137"/>
        <v xml:space="preserve"> - начисления на оплату труда</v>
      </c>
      <c r="B986" s="52" t="str">
        <f t="shared" si="137"/>
        <v>119</v>
      </c>
      <c r="C986" s="52" t="str">
        <f t="shared" si="137"/>
        <v>213</v>
      </c>
      <c r="D986" s="53" t="s">
        <v>37</v>
      </c>
      <c r="E986" s="54"/>
      <c r="F986" s="54"/>
      <c r="G986" s="54"/>
      <c r="H986" s="56"/>
      <c r="R986" s="54"/>
      <c r="S986" s="54"/>
      <c r="T986" s="54"/>
      <c r="U986" s="54">
        <f t="shared" ref="U986:U1017" si="138">E986-R986</f>
        <v>0</v>
      </c>
      <c r="V986" s="54">
        <f t="shared" ref="V986:V1017" si="139">F986-S986</f>
        <v>0</v>
      </c>
      <c r="W986" s="54">
        <f t="shared" ref="W986:W1017" si="140">G986-T986</f>
        <v>0</v>
      </c>
    </row>
    <row r="987" spans="1:23" s="45" customFormat="1" hidden="1" x14ac:dyDescent="0.25">
      <c r="A987" s="52" t="str">
        <f t="shared" si="137"/>
        <v xml:space="preserve"> - услуги связи, всего:</v>
      </c>
      <c r="B987" s="52" t="str">
        <f t="shared" si="137"/>
        <v>244</v>
      </c>
      <c r="C987" s="52" t="str">
        <f t="shared" si="137"/>
        <v>221</v>
      </c>
      <c r="D987" s="60"/>
      <c r="E987" s="61">
        <f>SUM(E988:E989)</f>
        <v>0</v>
      </c>
      <c r="F987" s="61">
        <f>SUM(F988:F989)</f>
        <v>0</v>
      </c>
      <c r="G987" s="61">
        <f>SUM(G988:G989)</f>
        <v>0</v>
      </c>
      <c r="H987" s="63"/>
      <c r="R987" s="61"/>
      <c r="S987" s="61"/>
      <c r="T987" s="61"/>
      <c r="U987" s="61">
        <f t="shared" si="138"/>
        <v>0</v>
      </c>
      <c r="V987" s="61">
        <f t="shared" si="139"/>
        <v>0</v>
      </c>
      <c r="W987" s="61">
        <f t="shared" si="140"/>
        <v>0</v>
      </c>
    </row>
    <row r="988" spans="1:23" ht="27.6" hidden="1" x14ac:dyDescent="0.25">
      <c r="A988" s="52" t="str">
        <f t="shared" si="137"/>
        <v xml:space="preserve">   в том числе:
    - ГТС и МТС</v>
      </c>
      <c r="B988" s="52" t="str">
        <f t="shared" si="137"/>
        <v>244</v>
      </c>
      <c r="C988" s="52" t="str">
        <f t="shared" si="137"/>
        <v>221</v>
      </c>
      <c r="D988" s="53"/>
      <c r="E988" s="54"/>
      <c r="F988" s="54"/>
      <c r="G988" s="54"/>
      <c r="H988" s="56"/>
      <c r="I988" s="56"/>
      <c r="R988" s="54"/>
      <c r="S988" s="54"/>
      <c r="T988" s="54"/>
      <c r="U988" s="54">
        <f t="shared" si="138"/>
        <v>0</v>
      </c>
      <c r="V988" s="54">
        <f t="shared" si="139"/>
        <v>0</v>
      </c>
      <c r="W988" s="54">
        <f t="shared" si="140"/>
        <v>0</v>
      </c>
    </row>
    <row r="989" spans="1:23" s="58" customFormat="1" hidden="1" x14ac:dyDescent="0.25">
      <c r="A989" s="52" t="str">
        <f t="shared" si="137"/>
        <v xml:space="preserve">    - интернет </v>
      </c>
      <c r="B989" s="52" t="str">
        <f t="shared" si="137"/>
        <v>244</v>
      </c>
      <c r="C989" s="52" t="str">
        <f t="shared" si="137"/>
        <v>221</v>
      </c>
      <c r="D989" s="53"/>
      <c r="E989" s="54"/>
      <c r="F989" s="54"/>
      <c r="G989" s="54"/>
      <c r="H989" s="57"/>
      <c r="I989" s="57"/>
      <c r="R989" s="54"/>
      <c r="S989" s="54"/>
      <c r="T989" s="54"/>
      <c r="U989" s="54">
        <f t="shared" si="138"/>
        <v>0</v>
      </c>
      <c r="V989" s="54">
        <f t="shared" si="139"/>
        <v>0</v>
      </c>
      <c r="W989" s="54">
        <f t="shared" si="140"/>
        <v>0</v>
      </c>
    </row>
    <row r="990" spans="1:23" s="58" customFormat="1" hidden="1" x14ac:dyDescent="0.25">
      <c r="A990" s="52" t="str">
        <f t="shared" si="137"/>
        <v xml:space="preserve"> - транспортные расходы</v>
      </c>
      <c r="B990" s="52" t="str">
        <f t="shared" si="137"/>
        <v>244</v>
      </c>
      <c r="C990" s="52" t="str">
        <f t="shared" si="137"/>
        <v>222</v>
      </c>
      <c r="D990" s="53"/>
      <c r="E990" s="54"/>
      <c r="F990" s="54"/>
      <c r="G990" s="54"/>
      <c r="I990" s="57"/>
      <c r="R990" s="54"/>
      <c r="S990" s="54"/>
      <c r="T990" s="54"/>
      <c r="U990" s="54">
        <f t="shared" si="138"/>
        <v>0</v>
      </c>
      <c r="V990" s="54">
        <f t="shared" si="139"/>
        <v>0</v>
      </c>
      <c r="W990" s="54">
        <f t="shared" si="140"/>
        <v>0</v>
      </c>
    </row>
    <row r="991" spans="1:23" hidden="1" x14ac:dyDescent="0.25">
      <c r="A991" s="52" t="str">
        <f t="shared" si="137"/>
        <v xml:space="preserve"> - коммунальные расходы (без ЖБО)</v>
      </c>
      <c r="B991" s="52" t="str">
        <f t="shared" si="137"/>
        <v>244</v>
      </c>
      <c r="C991" s="52" t="str">
        <f t="shared" si="137"/>
        <v>223</v>
      </c>
      <c r="D991" s="53"/>
      <c r="E991" s="54"/>
      <c r="F991" s="54"/>
      <c r="G991" s="54"/>
      <c r="H991" s="56"/>
      <c r="I991" s="56"/>
      <c r="R991" s="54"/>
      <c r="S991" s="54"/>
      <c r="T991" s="54"/>
      <c r="U991" s="54">
        <f t="shared" si="138"/>
        <v>0</v>
      </c>
      <c r="V991" s="54">
        <f t="shared" si="139"/>
        <v>0</v>
      </c>
      <c r="W991" s="54">
        <f t="shared" si="140"/>
        <v>0</v>
      </c>
    </row>
    <row r="992" spans="1:23" hidden="1" x14ac:dyDescent="0.25">
      <c r="A992" s="52" t="str">
        <f t="shared" si="137"/>
        <v xml:space="preserve"> - коммунальные расходы (без ЖБО)</v>
      </c>
      <c r="B992" s="52" t="str">
        <f t="shared" si="137"/>
        <v>247</v>
      </c>
      <c r="C992" s="52" t="str">
        <f t="shared" si="137"/>
        <v>223</v>
      </c>
      <c r="D992" s="53"/>
      <c r="E992" s="54"/>
      <c r="F992" s="54"/>
      <c r="G992" s="54"/>
      <c r="H992" s="56"/>
      <c r="I992" s="56"/>
      <c r="R992" s="54"/>
      <c r="S992" s="54"/>
      <c r="T992" s="54"/>
      <c r="U992" s="54">
        <f t="shared" si="138"/>
        <v>0</v>
      </c>
      <c r="V992" s="54">
        <f t="shared" si="139"/>
        <v>0</v>
      </c>
      <c r="W992" s="54">
        <f t="shared" si="140"/>
        <v>0</v>
      </c>
    </row>
    <row r="993" spans="1:23" hidden="1" x14ac:dyDescent="0.25">
      <c r="A993" s="52" t="str">
        <f t="shared" si="137"/>
        <v xml:space="preserve">    - ЖБО </v>
      </c>
      <c r="B993" s="52" t="str">
        <f t="shared" si="137"/>
        <v>244</v>
      </c>
      <c r="C993" s="52" t="str">
        <f t="shared" si="137"/>
        <v>223</v>
      </c>
      <c r="D993" s="53"/>
      <c r="E993" s="54"/>
      <c r="F993" s="54"/>
      <c r="G993" s="54"/>
      <c r="H993" s="58"/>
      <c r="I993" s="57"/>
      <c r="R993" s="54"/>
      <c r="S993" s="54"/>
      <c r="T993" s="54"/>
      <c r="U993" s="54">
        <f t="shared" si="138"/>
        <v>0</v>
      </c>
      <c r="V993" s="54">
        <f t="shared" si="139"/>
        <v>0</v>
      </c>
      <c r="W993" s="54">
        <f t="shared" si="140"/>
        <v>0</v>
      </c>
    </row>
    <row r="994" spans="1:23" s="58" customFormat="1" hidden="1" x14ac:dyDescent="0.25">
      <c r="A994" s="52" t="str">
        <f t="shared" si="137"/>
        <v xml:space="preserve"> - арендная плата </v>
      </c>
      <c r="B994" s="52" t="str">
        <f t="shared" si="137"/>
        <v>244</v>
      </c>
      <c r="C994" s="52" t="str">
        <f t="shared" si="137"/>
        <v>224</v>
      </c>
      <c r="D994" s="53"/>
      <c r="E994" s="54"/>
      <c r="F994" s="54"/>
      <c r="G994" s="54"/>
      <c r="H994" s="57"/>
      <c r="I994" s="57"/>
      <c r="R994" s="54"/>
      <c r="S994" s="54"/>
      <c r="T994" s="54"/>
      <c r="U994" s="54">
        <f t="shared" si="138"/>
        <v>0</v>
      </c>
      <c r="V994" s="54">
        <f t="shared" si="139"/>
        <v>0</v>
      </c>
      <c r="W994" s="54">
        <f t="shared" si="140"/>
        <v>0</v>
      </c>
    </row>
    <row r="995" spans="1:23" s="45" customFormat="1" hidden="1" x14ac:dyDescent="0.25">
      <c r="A995" s="52" t="str">
        <f t="shared" si="137"/>
        <v xml:space="preserve"> - услуги по содержанию имущества, всего:</v>
      </c>
      <c r="B995" s="52" t="str">
        <f t="shared" si="137"/>
        <v>244</v>
      </c>
      <c r="C995" s="52" t="str">
        <f t="shared" si="137"/>
        <v>225</v>
      </c>
      <c r="D995" s="104"/>
      <c r="E995" s="62">
        <f>SUM(E996:E1018)</f>
        <v>0</v>
      </c>
      <c r="F995" s="62">
        <f>SUM(F996:F1018)</f>
        <v>0</v>
      </c>
      <c r="G995" s="62">
        <f>SUM(G996:G1018)</f>
        <v>0</v>
      </c>
      <c r="H995" s="63"/>
      <c r="I995" s="63"/>
      <c r="R995" s="62"/>
      <c r="S995" s="62"/>
      <c r="T995" s="62"/>
      <c r="U995" s="62">
        <f t="shared" si="138"/>
        <v>0</v>
      </c>
      <c r="V995" s="62">
        <f t="shared" si="139"/>
        <v>0</v>
      </c>
      <c r="W995" s="62">
        <f t="shared" si="140"/>
        <v>0</v>
      </c>
    </row>
    <row r="996" spans="1:23" ht="41.4" hidden="1" x14ac:dyDescent="0.25">
      <c r="A996" s="52" t="str">
        <f t="shared" si="137"/>
        <v xml:space="preserve">   в том числе:
    - тек.ремонт (отопление, водопровод, электросетей)</v>
      </c>
      <c r="B996" s="52" t="str">
        <f t="shared" si="137"/>
        <v>244</v>
      </c>
      <c r="C996" s="52" t="str">
        <f t="shared" si="137"/>
        <v>225</v>
      </c>
      <c r="D996" s="53"/>
      <c r="E996" s="54"/>
      <c r="F996" s="54"/>
      <c r="G996" s="54"/>
      <c r="H996" s="56"/>
      <c r="I996" s="56"/>
      <c r="R996" s="54"/>
      <c r="S996" s="54"/>
      <c r="T996" s="54"/>
      <c r="U996" s="54">
        <f t="shared" si="138"/>
        <v>0</v>
      </c>
      <c r="V996" s="54">
        <f t="shared" si="139"/>
        <v>0</v>
      </c>
      <c r="W996" s="54">
        <f t="shared" si="140"/>
        <v>0</v>
      </c>
    </row>
    <row r="997" spans="1:23" s="66" customFormat="1" hidden="1" x14ac:dyDescent="0.25">
      <c r="A997" s="52" t="str">
        <f t="shared" si="137"/>
        <v xml:space="preserve">    - очистка кровли от снега</v>
      </c>
      <c r="B997" s="52" t="str">
        <f t="shared" si="137"/>
        <v>244</v>
      </c>
      <c r="C997" s="52" t="str">
        <f t="shared" si="137"/>
        <v>225</v>
      </c>
      <c r="D997" s="53"/>
      <c r="E997" s="54"/>
      <c r="F997" s="54"/>
      <c r="G997" s="54"/>
      <c r="I997" s="67"/>
      <c r="R997" s="54"/>
      <c r="S997" s="54"/>
      <c r="T997" s="54"/>
      <c r="U997" s="54">
        <f t="shared" si="138"/>
        <v>0</v>
      </c>
      <c r="V997" s="54">
        <f t="shared" si="139"/>
        <v>0</v>
      </c>
      <c r="W997" s="54">
        <f t="shared" si="140"/>
        <v>0</v>
      </c>
    </row>
    <row r="998" spans="1:23" ht="27.6" hidden="1" x14ac:dyDescent="0.25">
      <c r="A998" s="52" t="str">
        <f t="shared" si="137"/>
        <v xml:space="preserve">    - текущий ремонт кровли, крыльца, заделка швов, асфальтирование территории</v>
      </c>
      <c r="B998" s="52" t="str">
        <f t="shared" si="137"/>
        <v>244</v>
      </c>
      <c r="C998" s="52" t="str">
        <f t="shared" si="137"/>
        <v>225</v>
      </c>
      <c r="D998" s="53"/>
      <c r="E998" s="54"/>
      <c r="F998" s="54"/>
      <c r="G998" s="54"/>
      <c r="H998" s="56"/>
      <c r="I998" s="56"/>
      <c r="R998" s="54"/>
      <c r="S998" s="54"/>
      <c r="T998" s="54"/>
      <c r="U998" s="54">
        <f t="shared" si="138"/>
        <v>0</v>
      </c>
      <c r="V998" s="54">
        <f t="shared" si="139"/>
        <v>0</v>
      </c>
      <c r="W998" s="54">
        <f t="shared" si="140"/>
        <v>0</v>
      </c>
    </row>
    <row r="999" spans="1:23" hidden="1" x14ac:dyDescent="0.25">
      <c r="A999" s="52" t="str">
        <f t="shared" si="137"/>
        <v xml:space="preserve">    - аварийно-техническое обслуживание зданий</v>
      </c>
      <c r="B999" s="52" t="str">
        <f t="shared" si="137"/>
        <v>244</v>
      </c>
      <c r="C999" s="52" t="str">
        <f t="shared" si="137"/>
        <v>225</v>
      </c>
      <c r="D999" s="53"/>
      <c r="E999" s="54"/>
      <c r="F999" s="54"/>
      <c r="G999" s="54"/>
      <c r="H999" s="56"/>
      <c r="I999" s="56"/>
      <c r="R999" s="54"/>
      <c r="S999" s="54"/>
      <c r="T999" s="54"/>
      <c r="U999" s="54">
        <f t="shared" si="138"/>
        <v>0</v>
      </c>
      <c r="V999" s="54">
        <f t="shared" si="139"/>
        <v>0</v>
      </c>
      <c r="W999" s="54">
        <f t="shared" si="140"/>
        <v>0</v>
      </c>
    </row>
    <row r="1000" spans="1:23" ht="27.6" hidden="1" x14ac:dyDescent="0.25">
      <c r="A1000" s="52" t="str">
        <f t="shared" si="137"/>
        <v xml:space="preserve">    - содержание мест общего пользования (ПЖРЭТ), взносы на кап.ремонт</v>
      </c>
      <c r="B1000" s="52" t="str">
        <f t="shared" si="137"/>
        <v>244</v>
      </c>
      <c r="C1000" s="52" t="str">
        <f t="shared" si="137"/>
        <v>225</v>
      </c>
      <c r="D1000" s="53"/>
      <c r="E1000" s="54"/>
      <c r="F1000" s="54"/>
      <c r="G1000" s="54"/>
      <c r="I1000" s="56"/>
      <c r="R1000" s="54"/>
      <c r="S1000" s="54"/>
      <c r="T1000" s="54"/>
      <c r="U1000" s="54">
        <f t="shared" si="138"/>
        <v>0</v>
      </c>
      <c r="V1000" s="54">
        <f t="shared" si="139"/>
        <v>0</v>
      </c>
      <c r="W1000" s="54">
        <f t="shared" si="140"/>
        <v>0</v>
      </c>
    </row>
    <row r="1001" spans="1:23" hidden="1" x14ac:dyDescent="0.25">
      <c r="A1001" s="52" t="str">
        <f t="shared" ref="A1001:C1020" si="141">A101</f>
        <v xml:space="preserve">    - наружное освещение</v>
      </c>
      <c r="B1001" s="52" t="str">
        <f t="shared" si="141"/>
        <v>244</v>
      </c>
      <c r="C1001" s="52" t="str">
        <f t="shared" si="141"/>
        <v>225</v>
      </c>
      <c r="D1001" s="53"/>
      <c r="E1001" s="54"/>
      <c r="F1001" s="54"/>
      <c r="G1001" s="54"/>
      <c r="I1001" s="56"/>
      <c r="R1001" s="54"/>
      <c r="S1001" s="54"/>
      <c r="T1001" s="54"/>
      <c r="U1001" s="54">
        <f t="shared" si="138"/>
        <v>0</v>
      </c>
      <c r="V1001" s="54">
        <f t="shared" si="139"/>
        <v>0</v>
      </c>
      <c r="W1001" s="54">
        <f t="shared" si="140"/>
        <v>0</v>
      </c>
    </row>
    <row r="1002" spans="1:23" hidden="1" x14ac:dyDescent="0.25">
      <c r="A1002" s="52" t="str">
        <f t="shared" si="141"/>
        <v xml:space="preserve">    - то приборов коммерческого учета</v>
      </c>
      <c r="B1002" s="52" t="str">
        <f t="shared" si="141"/>
        <v>244</v>
      </c>
      <c r="C1002" s="52" t="str">
        <f t="shared" si="141"/>
        <v>225</v>
      </c>
      <c r="D1002" s="53"/>
      <c r="E1002" s="54"/>
      <c r="F1002" s="54"/>
      <c r="G1002" s="54"/>
      <c r="I1002" s="56"/>
      <c r="R1002" s="54"/>
      <c r="S1002" s="54"/>
      <c r="T1002" s="54"/>
      <c r="U1002" s="54">
        <f t="shared" si="138"/>
        <v>0</v>
      </c>
      <c r="V1002" s="54">
        <f t="shared" si="139"/>
        <v>0</v>
      </c>
      <c r="W1002" s="54">
        <f t="shared" si="140"/>
        <v>0</v>
      </c>
    </row>
    <row r="1003" spans="1:23" hidden="1" x14ac:dyDescent="0.25">
      <c r="A1003" s="52" t="str">
        <f t="shared" si="141"/>
        <v xml:space="preserve">    - дезинфекция</v>
      </c>
      <c r="B1003" s="52" t="str">
        <f t="shared" si="141"/>
        <v>244</v>
      </c>
      <c r="C1003" s="52" t="str">
        <f t="shared" si="141"/>
        <v>225</v>
      </c>
      <c r="D1003" s="53"/>
      <c r="E1003" s="54"/>
      <c r="F1003" s="54"/>
      <c r="G1003" s="54"/>
      <c r="I1003" s="56"/>
      <c r="R1003" s="54"/>
      <c r="S1003" s="54"/>
      <c r="T1003" s="54"/>
      <c r="U1003" s="54">
        <f t="shared" si="138"/>
        <v>0</v>
      </c>
      <c r="V1003" s="54">
        <f t="shared" si="139"/>
        <v>0</v>
      </c>
      <c r="W1003" s="54">
        <f t="shared" si="140"/>
        <v>0</v>
      </c>
    </row>
    <row r="1004" spans="1:23" hidden="1" x14ac:dyDescent="0.25">
      <c r="A1004" s="52" t="str">
        <f t="shared" si="141"/>
        <v xml:space="preserve">    - то видеонаблюдения</v>
      </c>
      <c r="B1004" s="52" t="str">
        <f t="shared" si="141"/>
        <v>244</v>
      </c>
      <c r="C1004" s="52" t="str">
        <f t="shared" si="141"/>
        <v>225</v>
      </c>
      <c r="D1004" s="53"/>
      <c r="E1004" s="54"/>
      <c r="F1004" s="54"/>
      <c r="G1004" s="54"/>
      <c r="I1004" s="56"/>
      <c r="R1004" s="54"/>
      <c r="S1004" s="54"/>
      <c r="T1004" s="54"/>
      <c r="U1004" s="54">
        <f t="shared" si="138"/>
        <v>0</v>
      </c>
      <c r="V1004" s="54">
        <f t="shared" si="139"/>
        <v>0</v>
      </c>
      <c r="W1004" s="54">
        <f t="shared" si="140"/>
        <v>0</v>
      </c>
    </row>
    <row r="1005" spans="1:23" hidden="1" x14ac:dyDescent="0.25">
      <c r="A1005" s="52" t="str">
        <f t="shared" si="141"/>
        <v xml:space="preserve">    - то пожарно-охранной сигнализации</v>
      </c>
      <c r="B1005" s="52" t="str">
        <f t="shared" si="141"/>
        <v>244</v>
      </c>
      <c r="C1005" s="52" t="str">
        <f t="shared" si="141"/>
        <v>225</v>
      </c>
      <c r="D1005" s="53"/>
      <c r="E1005" s="54"/>
      <c r="F1005" s="54"/>
      <c r="G1005" s="54"/>
      <c r="I1005" s="56"/>
      <c r="R1005" s="54"/>
      <c r="S1005" s="54"/>
      <c r="T1005" s="54"/>
      <c r="U1005" s="54">
        <f t="shared" si="138"/>
        <v>0</v>
      </c>
      <c r="V1005" s="54">
        <f t="shared" si="139"/>
        <v>0</v>
      </c>
      <c r="W1005" s="54">
        <f t="shared" si="140"/>
        <v>0</v>
      </c>
    </row>
    <row r="1006" spans="1:23" hidden="1" x14ac:dyDescent="0.25">
      <c r="A1006" s="52" t="str">
        <f t="shared" si="141"/>
        <v xml:space="preserve">    - монтаж (регулировка) дверей/окон</v>
      </c>
      <c r="B1006" s="52" t="str">
        <f t="shared" si="141"/>
        <v>244</v>
      </c>
      <c r="C1006" s="52" t="str">
        <f t="shared" si="141"/>
        <v>225</v>
      </c>
      <c r="D1006" s="53"/>
      <c r="E1006" s="54"/>
      <c r="F1006" s="54"/>
      <c r="G1006" s="54"/>
      <c r="I1006" s="56"/>
      <c r="R1006" s="54"/>
      <c r="S1006" s="54"/>
      <c r="T1006" s="54"/>
      <c r="U1006" s="54">
        <f t="shared" si="138"/>
        <v>0</v>
      </c>
      <c r="V1006" s="54">
        <f t="shared" si="139"/>
        <v>0</v>
      </c>
      <c r="W1006" s="54">
        <f t="shared" si="140"/>
        <v>0</v>
      </c>
    </row>
    <row r="1007" spans="1:23" hidden="1" x14ac:dyDescent="0.25">
      <c r="A1007" s="52" t="str">
        <f t="shared" si="141"/>
        <v xml:space="preserve">    - заправка картриджей</v>
      </c>
      <c r="B1007" s="52" t="str">
        <f t="shared" si="141"/>
        <v>244</v>
      </c>
      <c r="C1007" s="52" t="str">
        <f t="shared" si="141"/>
        <v>225</v>
      </c>
      <c r="D1007" s="53"/>
      <c r="E1007" s="54"/>
      <c r="F1007" s="54"/>
      <c r="G1007" s="54"/>
      <c r="I1007" s="56"/>
      <c r="R1007" s="54"/>
      <c r="S1007" s="54"/>
      <c r="T1007" s="54"/>
      <c r="U1007" s="54">
        <f t="shared" si="138"/>
        <v>0</v>
      </c>
      <c r="V1007" s="54">
        <f t="shared" si="139"/>
        <v>0</v>
      </c>
      <c r="W1007" s="54">
        <f t="shared" si="140"/>
        <v>0</v>
      </c>
    </row>
    <row r="1008" spans="1:23" ht="14.25" hidden="1" customHeight="1" x14ac:dyDescent="0.25">
      <c r="A1008" s="52" t="str">
        <f t="shared" si="141"/>
        <v xml:space="preserve">    - обслуживание кнопки тревожной сигнализации</v>
      </c>
      <c r="B1008" s="52" t="str">
        <f t="shared" si="141"/>
        <v>244</v>
      </c>
      <c r="C1008" s="52" t="str">
        <f t="shared" si="141"/>
        <v>225</v>
      </c>
      <c r="D1008" s="53"/>
      <c r="E1008" s="54"/>
      <c r="F1008" s="54"/>
      <c r="G1008" s="54"/>
      <c r="I1008" s="56"/>
      <c r="R1008" s="54"/>
      <c r="S1008" s="54"/>
      <c r="T1008" s="54"/>
      <c r="U1008" s="54">
        <f t="shared" si="138"/>
        <v>0</v>
      </c>
      <c r="V1008" s="54">
        <f t="shared" si="139"/>
        <v>0</v>
      </c>
      <c r="W1008" s="54">
        <f t="shared" si="140"/>
        <v>0</v>
      </c>
    </row>
    <row r="1009" spans="1:23" ht="14.25" hidden="1" customHeight="1" x14ac:dyDescent="0.25">
      <c r="A1009" s="52" t="str">
        <f t="shared" si="141"/>
        <v xml:space="preserve">    - то компьютерного оборудования</v>
      </c>
      <c r="B1009" s="52" t="str">
        <f t="shared" si="141"/>
        <v>244</v>
      </c>
      <c r="C1009" s="52" t="str">
        <f t="shared" si="141"/>
        <v>225</v>
      </c>
      <c r="D1009" s="53"/>
      <c r="E1009" s="54"/>
      <c r="F1009" s="54"/>
      <c r="G1009" s="54"/>
      <c r="I1009" s="56"/>
      <c r="R1009" s="54"/>
      <c r="S1009" s="54"/>
      <c r="T1009" s="54"/>
      <c r="U1009" s="54">
        <f t="shared" si="138"/>
        <v>0</v>
      </c>
      <c r="V1009" s="54">
        <f t="shared" si="139"/>
        <v>0</v>
      </c>
      <c r="W1009" s="54">
        <f t="shared" si="140"/>
        <v>0</v>
      </c>
    </row>
    <row r="1010" spans="1:23" ht="14.25" hidden="1" customHeight="1" x14ac:dyDescent="0.25">
      <c r="A1010" s="52" t="str">
        <f t="shared" si="141"/>
        <v xml:space="preserve">    - Химчистка</v>
      </c>
      <c r="B1010" s="52" t="str">
        <f t="shared" si="141"/>
        <v>244</v>
      </c>
      <c r="C1010" s="52" t="str">
        <f t="shared" si="141"/>
        <v>225</v>
      </c>
      <c r="D1010" s="53"/>
      <c r="E1010" s="54"/>
      <c r="F1010" s="54"/>
      <c r="G1010" s="54"/>
      <c r="I1010" s="56"/>
      <c r="R1010" s="54"/>
      <c r="S1010" s="54"/>
      <c r="T1010" s="54"/>
      <c r="U1010" s="54">
        <f t="shared" si="138"/>
        <v>0</v>
      </c>
      <c r="V1010" s="54">
        <f t="shared" si="139"/>
        <v>0</v>
      </c>
      <c r="W1010" s="54">
        <f t="shared" si="140"/>
        <v>0</v>
      </c>
    </row>
    <row r="1011" spans="1:23" hidden="1" x14ac:dyDescent="0.25">
      <c r="A1011" s="52" t="str">
        <f t="shared" si="141"/>
        <v xml:space="preserve">    - поверка средств имерения</v>
      </c>
      <c r="B1011" s="52" t="str">
        <f t="shared" si="141"/>
        <v>244</v>
      </c>
      <c r="C1011" s="52" t="str">
        <f t="shared" si="141"/>
        <v>225</v>
      </c>
      <c r="D1011" s="53"/>
      <c r="E1011" s="54"/>
      <c r="F1011" s="54"/>
      <c r="G1011" s="54"/>
      <c r="I1011" s="56"/>
      <c r="R1011" s="54"/>
      <c r="S1011" s="54"/>
      <c r="T1011" s="54"/>
      <c r="U1011" s="54">
        <f t="shared" si="138"/>
        <v>0</v>
      </c>
      <c r="V1011" s="54">
        <f t="shared" si="139"/>
        <v>0</v>
      </c>
      <c r="W1011" s="54">
        <f t="shared" si="140"/>
        <v>0</v>
      </c>
    </row>
    <row r="1012" spans="1:23" hidden="1" x14ac:dyDescent="0.25">
      <c r="A1012" s="52" t="str">
        <f t="shared" si="141"/>
        <v xml:space="preserve">    - вывоз ТКО</v>
      </c>
      <c r="B1012" s="52" t="str">
        <f t="shared" si="141"/>
        <v>244</v>
      </c>
      <c r="C1012" s="52" t="str">
        <f t="shared" si="141"/>
        <v>225</v>
      </c>
      <c r="D1012" s="53"/>
      <c r="E1012" s="54"/>
      <c r="F1012" s="54"/>
      <c r="G1012" s="54"/>
      <c r="I1012" s="56"/>
      <c r="R1012" s="54"/>
      <c r="S1012" s="54"/>
      <c r="T1012" s="54"/>
      <c r="U1012" s="54">
        <f t="shared" si="138"/>
        <v>0</v>
      </c>
      <c r="V1012" s="54">
        <f t="shared" si="139"/>
        <v>0</v>
      </c>
      <c r="W1012" s="54">
        <f t="shared" si="140"/>
        <v>0</v>
      </c>
    </row>
    <row r="1013" spans="1:23" ht="14.25" hidden="1" customHeight="1" x14ac:dyDescent="0.25">
      <c r="A1013" s="52" t="str">
        <f t="shared" si="141"/>
        <v xml:space="preserve">    - текущий ремонт оборудования</v>
      </c>
      <c r="B1013" s="52" t="str">
        <f t="shared" si="141"/>
        <v>244</v>
      </c>
      <c r="C1013" s="52" t="str">
        <f t="shared" si="141"/>
        <v>225</v>
      </c>
      <c r="D1013" s="53"/>
      <c r="E1013" s="54"/>
      <c r="F1013" s="54"/>
      <c r="G1013" s="54"/>
      <c r="I1013" s="56"/>
      <c r="R1013" s="54"/>
      <c r="S1013" s="54"/>
      <c r="T1013" s="54"/>
      <c r="U1013" s="54">
        <f t="shared" si="138"/>
        <v>0</v>
      </c>
      <c r="V1013" s="54">
        <f t="shared" si="139"/>
        <v>0</v>
      </c>
      <c r="W1013" s="54">
        <f t="shared" si="140"/>
        <v>0</v>
      </c>
    </row>
    <row r="1014" spans="1:23" ht="14.25" hidden="1" customHeight="1" x14ac:dyDescent="0.25">
      <c r="A1014" s="52" t="str">
        <f t="shared" si="141"/>
        <v xml:space="preserve">    - испытание диэлектрических средств защиты</v>
      </c>
      <c r="B1014" s="52" t="str">
        <f t="shared" si="141"/>
        <v>244</v>
      </c>
      <c r="C1014" s="52" t="str">
        <f t="shared" si="141"/>
        <v>225</v>
      </c>
      <c r="D1014" s="53"/>
      <c r="E1014" s="54"/>
      <c r="F1014" s="54"/>
      <c r="G1014" s="54"/>
      <c r="I1014" s="56"/>
      <c r="R1014" s="54"/>
      <c r="S1014" s="54"/>
      <c r="T1014" s="54"/>
      <c r="U1014" s="54">
        <f t="shared" si="138"/>
        <v>0</v>
      </c>
      <c r="V1014" s="54">
        <f t="shared" si="139"/>
        <v>0</v>
      </c>
      <c r="W1014" s="54">
        <f t="shared" si="140"/>
        <v>0</v>
      </c>
    </row>
    <row r="1015" spans="1:23" ht="14.25" hidden="1" customHeight="1" x14ac:dyDescent="0.25">
      <c r="A1015" s="52" t="str">
        <f t="shared" si="141"/>
        <v xml:space="preserve">    - гидравлические испытания пожарных рукавов</v>
      </c>
      <c r="B1015" s="52" t="str">
        <f t="shared" si="141"/>
        <v>244</v>
      </c>
      <c r="C1015" s="52" t="str">
        <f t="shared" si="141"/>
        <v>225</v>
      </c>
      <c r="D1015" s="53"/>
      <c r="E1015" s="54"/>
      <c r="F1015" s="54"/>
      <c r="G1015" s="54"/>
      <c r="I1015" s="56"/>
      <c r="R1015" s="54"/>
      <c r="S1015" s="54"/>
      <c r="T1015" s="54"/>
      <c r="U1015" s="54">
        <f t="shared" si="138"/>
        <v>0</v>
      </c>
      <c r="V1015" s="54">
        <f t="shared" si="139"/>
        <v>0</v>
      </c>
      <c r="W1015" s="54">
        <f t="shared" si="140"/>
        <v>0</v>
      </c>
    </row>
    <row r="1016" spans="1:23" ht="14.25" hidden="1" customHeight="1" x14ac:dyDescent="0.25">
      <c r="A1016" s="52" t="str">
        <f t="shared" si="141"/>
        <v xml:space="preserve">    - монтаж уличного освещения</v>
      </c>
      <c r="B1016" s="52" t="str">
        <f t="shared" si="141"/>
        <v>244</v>
      </c>
      <c r="C1016" s="52" t="str">
        <f t="shared" si="141"/>
        <v>225</v>
      </c>
      <c r="D1016" s="53"/>
      <c r="E1016" s="54"/>
      <c r="F1016" s="54"/>
      <c r="G1016" s="54"/>
      <c r="I1016" s="56"/>
      <c r="R1016" s="54"/>
      <c r="S1016" s="54"/>
      <c r="T1016" s="54"/>
      <c r="U1016" s="54">
        <f t="shared" si="138"/>
        <v>0</v>
      </c>
      <c r="V1016" s="54">
        <f t="shared" si="139"/>
        <v>0</v>
      </c>
      <c r="W1016" s="54">
        <f t="shared" si="140"/>
        <v>0</v>
      </c>
    </row>
    <row r="1017" spans="1:23" ht="14.25" hidden="1" customHeight="1" x14ac:dyDescent="0.25">
      <c r="A1017" s="52" t="str">
        <f t="shared" si="141"/>
        <v xml:space="preserve">    - противоклещевая обработка</v>
      </c>
      <c r="B1017" s="52" t="str">
        <f t="shared" si="141"/>
        <v>244</v>
      </c>
      <c r="C1017" s="52" t="str">
        <f t="shared" si="141"/>
        <v>225</v>
      </c>
      <c r="D1017" s="53"/>
      <c r="E1017" s="54"/>
      <c r="F1017" s="54"/>
      <c r="G1017" s="54"/>
      <c r="I1017" s="56"/>
      <c r="R1017" s="54"/>
      <c r="S1017" s="54"/>
      <c r="T1017" s="54"/>
      <c r="U1017" s="54">
        <f t="shared" si="138"/>
        <v>0</v>
      </c>
      <c r="V1017" s="54">
        <f t="shared" si="139"/>
        <v>0</v>
      </c>
      <c r="W1017" s="54">
        <f t="shared" si="140"/>
        <v>0</v>
      </c>
    </row>
    <row r="1018" spans="1:23" hidden="1" x14ac:dyDescent="0.25">
      <c r="A1018" s="52" t="str">
        <f t="shared" si="141"/>
        <v xml:space="preserve">    - сервисное обслуживание приборов тепла</v>
      </c>
      <c r="B1018" s="52" t="str">
        <f t="shared" si="141"/>
        <v>244</v>
      </c>
      <c r="C1018" s="52" t="str">
        <f t="shared" si="141"/>
        <v>225</v>
      </c>
      <c r="D1018" s="53"/>
      <c r="E1018" s="54"/>
      <c r="F1018" s="54"/>
      <c r="G1018" s="54"/>
      <c r="I1018" s="56"/>
      <c r="R1018" s="54"/>
      <c r="S1018" s="54"/>
      <c r="T1018" s="54"/>
      <c r="U1018" s="54">
        <f t="shared" ref="U1018:U1042" si="142">E1018-R1018</f>
        <v>0</v>
      </c>
      <c r="V1018" s="54">
        <f t="shared" ref="V1018:V1042" si="143">F1018-S1018</f>
        <v>0</v>
      </c>
      <c r="W1018" s="54">
        <f t="shared" ref="W1018:W1042" si="144">G1018-T1018</f>
        <v>0</v>
      </c>
    </row>
    <row r="1019" spans="1:23" s="45" customFormat="1" hidden="1" x14ac:dyDescent="0.25">
      <c r="A1019" s="52" t="str">
        <f t="shared" si="141"/>
        <v xml:space="preserve"> - прочие работы, услуги, всего:</v>
      </c>
      <c r="B1019" s="52" t="str">
        <f t="shared" si="141"/>
        <v>244</v>
      </c>
      <c r="C1019" s="52" t="str">
        <f t="shared" si="141"/>
        <v>226</v>
      </c>
      <c r="D1019" s="104"/>
      <c r="E1019" s="62">
        <f>SUM(E1020:E1035)</f>
        <v>0</v>
      </c>
      <c r="F1019" s="62">
        <f>SUM(F1020:F1035)</f>
        <v>0</v>
      </c>
      <c r="G1019" s="62">
        <f>SUM(G1020:G1035)</f>
        <v>0</v>
      </c>
      <c r="H1019" s="63"/>
      <c r="I1019" s="63"/>
      <c r="R1019" s="62"/>
      <c r="S1019" s="62"/>
      <c r="T1019" s="62"/>
      <c r="U1019" s="62">
        <f t="shared" si="142"/>
        <v>0</v>
      </c>
      <c r="V1019" s="62">
        <f t="shared" si="143"/>
        <v>0</v>
      </c>
      <c r="W1019" s="62">
        <f t="shared" si="144"/>
        <v>0</v>
      </c>
    </row>
    <row r="1020" spans="1:23" s="58" customFormat="1" hidden="1" x14ac:dyDescent="0.25">
      <c r="A1020" s="52" t="str">
        <f t="shared" si="141"/>
        <v xml:space="preserve">    - специальная оценка условий труда</v>
      </c>
      <c r="B1020" s="52" t="str">
        <f t="shared" si="141"/>
        <v>244</v>
      </c>
      <c r="C1020" s="52" t="str">
        <f t="shared" si="141"/>
        <v>226</v>
      </c>
      <c r="D1020" s="53"/>
      <c r="E1020" s="54"/>
      <c r="F1020" s="54"/>
      <c r="G1020" s="54"/>
      <c r="H1020" s="49"/>
      <c r="I1020" s="56"/>
      <c r="R1020" s="54"/>
      <c r="S1020" s="54"/>
      <c r="T1020" s="54"/>
      <c r="U1020" s="54">
        <f t="shared" si="142"/>
        <v>0</v>
      </c>
      <c r="V1020" s="54">
        <f t="shared" si="143"/>
        <v>0</v>
      </c>
      <c r="W1020" s="54">
        <f t="shared" si="144"/>
        <v>0</v>
      </c>
    </row>
    <row r="1021" spans="1:23" s="58" customFormat="1" ht="27.6" hidden="1" x14ac:dyDescent="0.25">
      <c r="A1021" s="52" t="str">
        <f t="shared" ref="A1021:C1040" si="145">A121</f>
        <v xml:space="preserve">    - услуги автотранспорта (доставка строительных материалов, вывоз веток и пр.)</v>
      </c>
      <c r="B1021" s="52" t="str">
        <f t="shared" si="145"/>
        <v>244</v>
      </c>
      <c r="C1021" s="52" t="str">
        <f t="shared" si="145"/>
        <v>226</v>
      </c>
      <c r="D1021" s="53"/>
      <c r="E1021" s="54"/>
      <c r="F1021" s="54"/>
      <c r="G1021" s="54"/>
      <c r="H1021" s="49"/>
      <c r="I1021" s="56"/>
      <c r="R1021" s="54"/>
      <c r="S1021" s="54"/>
      <c r="T1021" s="54"/>
      <c r="U1021" s="54">
        <f t="shared" si="142"/>
        <v>0</v>
      </c>
      <c r="V1021" s="54">
        <f t="shared" si="143"/>
        <v>0</v>
      </c>
      <c r="W1021" s="54">
        <f t="shared" si="144"/>
        <v>0</v>
      </c>
    </row>
    <row r="1022" spans="1:23" s="58" customFormat="1" hidden="1" x14ac:dyDescent="0.25">
      <c r="A1022" s="52" t="str">
        <f t="shared" si="145"/>
        <v xml:space="preserve">    - ПО (СБИС)</v>
      </c>
      <c r="B1022" s="52" t="str">
        <f t="shared" si="145"/>
        <v>244</v>
      </c>
      <c r="C1022" s="52" t="str">
        <f t="shared" si="145"/>
        <v>226</v>
      </c>
      <c r="D1022" s="53"/>
      <c r="E1022" s="54"/>
      <c r="F1022" s="54"/>
      <c r="G1022" s="54"/>
      <c r="H1022" s="49"/>
      <c r="I1022" s="56"/>
      <c r="R1022" s="54"/>
      <c r="S1022" s="54"/>
      <c r="T1022" s="54"/>
      <c r="U1022" s="54">
        <f t="shared" si="142"/>
        <v>0</v>
      </c>
      <c r="V1022" s="54">
        <f t="shared" si="143"/>
        <v>0</v>
      </c>
      <c r="W1022" s="54">
        <f t="shared" si="144"/>
        <v>0</v>
      </c>
    </row>
    <row r="1023" spans="1:23" s="58" customFormat="1" hidden="1" x14ac:dyDescent="0.25">
      <c r="A1023" s="52" t="str">
        <f t="shared" si="145"/>
        <v xml:space="preserve">    - организация питания</v>
      </c>
      <c r="B1023" s="52" t="str">
        <f t="shared" si="145"/>
        <v>244</v>
      </c>
      <c r="C1023" s="52" t="str">
        <f t="shared" si="145"/>
        <v>226</v>
      </c>
      <c r="D1023" s="53"/>
      <c r="E1023" s="54"/>
      <c r="F1023" s="54"/>
      <c r="G1023" s="54"/>
      <c r="H1023" s="49"/>
      <c r="I1023" s="56"/>
      <c r="R1023" s="54"/>
      <c r="S1023" s="54"/>
      <c r="T1023" s="54"/>
      <c r="U1023" s="54">
        <f t="shared" si="142"/>
        <v>0</v>
      </c>
      <c r="V1023" s="54">
        <f t="shared" si="143"/>
        <v>0</v>
      </c>
      <c r="W1023" s="54">
        <f t="shared" si="144"/>
        <v>0</v>
      </c>
    </row>
    <row r="1024" spans="1:23" s="58" customFormat="1" ht="27.6" hidden="1" x14ac:dyDescent="0.25">
      <c r="A1024" s="52" t="str">
        <f t="shared" si="145"/>
        <v xml:space="preserve">    - расчет проектно-сметной документации (ремонт крыльца, речевое оповещение)</v>
      </c>
      <c r="B1024" s="52" t="str">
        <f t="shared" si="145"/>
        <v>244</v>
      </c>
      <c r="C1024" s="52" t="str">
        <f t="shared" si="145"/>
        <v>226</v>
      </c>
      <c r="D1024" s="53"/>
      <c r="E1024" s="54"/>
      <c r="F1024" s="54"/>
      <c r="G1024" s="54"/>
      <c r="H1024" s="49"/>
      <c r="I1024" s="56"/>
      <c r="R1024" s="54"/>
      <c r="S1024" s="54"/>
      <c r="T1024" s="54"/>
      <c r="U1024" s="54">
        <f t="shared" si="142"/>
        <v>0</v>
      </c>
      <c r="V1024" s="54">
        <f t="shared" si="143"/>
        <v>0</v>
      </c>
      <c r="W1024" s="54">
        <f t="shared" si="144"/>
        <v>0</v>
      </c>
    </row>
    <row r="1025" spans="1:23" s="58" customFormat="1" hidden="1" x14ac:dyDescent="0.25">
      <c r="A1025" s="52" t="str">
        <f t="shared" si="145"/>
        <v xml:space="preserve">    - оплата услуг бухгалтерии</v>
      </c>
      <c r="B1025" s="52" t="str">
        <f t="shared" si="145"/>
        <v>244</v>
      </c>
      <c r="C1025" s="52" t="str">
        <f t="shared" si="145"/>
        <v>226</v>
      </c>
      <c r="D1025" s="53"/>
      <c r="E1025" s="54"/>
      <c r="F1025" s="54"/>
      <c r="G1025" s="54"/>
      <c r="H1025" s="49"/>
      <c r="I1025" s="56"/>
      <c r="R1025" s="54"/>
      <c r="S1025" s="54"/>
      <c r="T1025" s="54"/>
      <c r="U1025" s="54">
        <f t="shared" si="142"/>
        <v>0</v>
      </c>
      <c r="V1025" s="54">
        <f t="shared" si="143"/>
        <v>0</v>
      </c>
      <c r="W1025" s="54">
        <f t="shared" si="144"/>
        <v>0</v>
      </c>
    </row>
    <row r="1026" spans="1:23" s="58" customFormat="1" hidden="1" x14ac:dyDescent="0.25">
      <c r="A1026" s="52" t="str">
        <f t="shared" si="145"/>
        <v xml:space="preserve">    - услуги банка</v>
      </c>
      <c r="B1026" s="52" t="str">
        <f t="shared" si="145"/>
        <v>244</v>
      </c>
      <c r="C1026" s="52" t="str">
        <f t="shared" si="145"/>
        <v>226</v>
      </c>
      <c r="D1026" s="53"/>
      <c r="E1026" s="54"/>
      <c r="F1026" s="54"/>
      <c r="G1026" s="54"/>
      <c r="H1026" s="49"/>
      <c r="I1026" s="56"/>
      <c r="R1026" s="54"/>
      <c r="S1026" s="54"/>
      <c r="T1026" s="54"/>
      <c r="U1026" s="54">
        <f t="shared" si="142"/>
        <v>0</v>
      </c>
      <c r="V1026" s="54">
        <f t="shared" si="143"/>
        <v>0</v>
      </c>
      <c r="W1026" s="54">
        <f t="shared" si="144"/>
        <v>0</v>
      </c>
    </row>
    <row r="1027" spans="1:23" s="58" customFormat="1" hidden="1" x14ac:dyDescent="0.25">
      <c r="A1027" s="52" t="str">
        <f t="shared" si="145"/>
        <v xml:space="preserve">    - обслуживание компьютерных программ</v>
      </c>
      <c r="B1027" s="52" t="str">
        <f t="shared" si="145"/>
        <v>244</v>
      </c>
      <c r="C1027" s="52" t="str">
        <f t="shared" si="145"/>
        <v>226</v>
      </c>
      <c r="D1027" s="53"/>
      <c r="E1027" s="54"/>
      <c r="F1027" s="54"/>
      <c r="G1027" s="54"/>
      <c r="H1027" s="49"/>
      <c r="I1027" s="56"/>
      <c r="R1027" s="54"/>
      <c r="S1027" s="54"/>
      <c r="T1027" s="54"/>
      <c r="U1027" s="54">
        <f t="shared" si="142"/>
        <v>0</v>
      </c>
      <c r="V1027" s="54">
        <f t="shared" si="143"/>
        <v>0</v>
      </c>
      <c r="W1027" s="54">
        <f t="shared" si="144"/>
        <v>0</v>
      </c>
    </row>
    <row r="1028" spans="1:23" hidden="1" x14ac:dyDescent="0.25">
      <c r="A1028" s="52" t="str">
        <f t="shared" si="145"/>
        <v xml:space="preserve">    - установка сигнализации</v>
      </c>
      <c r="B1028" s="52" t="str">
        <f t="shared" si="145"/>
        <v>244</v>
      </c>
      <c r="C1028" s="52" t="str">
        <f t="shared" si="145"/>
        <v>226</v>
      </c>
      <c r="D1028" s="53"/>
      <c r="E1028" s="54"/>
      <c r="F1028" s="54"/>
      <c r="G1028" s="54"/>
      <c r="I1028" s="56"/>
      <c r="R1028" s="54"/>
      <c r="S1028" s="54"/>
      <c r="T1028" s="54"/>
      <c r="U1028" s="54">
        <f t="shared" si="142"/>
        <v>0</v>
      </c>
      <c r="V1028" s="54">
        <f t="shared" si="143"/>
        <v>0</v>
      </c>
      <c r="W1028" s="54">
        <f t="shared" si="144"/>
        <v>0</v>
      </c>
    </row>
    <row r="1029" spans="1:23" hidden="1" x14ac:dyDescent="0.25">
      <c r="A1029" s="52" t="str">
        <f t="shared" si="145"/>
        <v xml:space="preserve">    - оказание консалтинговых услуг</v>
      </c>
      <c r="B1029" s="52" t="str">
        <f t="shared" si="145"/>
        <v>244</v>
      </c>
      <c r="C1029" s="52" t="str">
        <f t="shared" si="145"/>
        <v>226</v>
      </c>
      <c r="D1029" s="53"/>
      <c r="E1029" s="54"/>
      <c r="F1029" s="54"/>
      <c r="G1029" s="54"/>
      <c r="I1029" s="56"/>
      <c r="R1029" s="54"/>
      <c r="S1029" s="54"/>
      <c r="T1029" s="54"/>
      <c r="U1029" s="54">
        <f t="shared" si="142"/>
        <v>0</v>
      </c>
      <c r="V1029" s="54">
        <f t="shared" si="143"/>
        <v>0</v>
      </c>
      <c r="W1029" s="54">
        <f t="shared" si="144"/>
        <v>0</v>
      </c>
    </row>
    <row r="1030" spans="1:23" ht="27.6" hidden="1" x14ac:dyDescent="0.25">
      <c r="A1030" s="52" t="str">
        <f t="shared" si="145"/>
        <v xml:space="preserve">    - монтаж решетчатой металлической двери в тепловом узле</v>
      </c>
      <c r="B1030" s="52" t="str">
        <f t="shared" si="145"/>
        <v>244</v>
      </c>
      <c r="C1030" s="52" t="str">
        <f t="shared" si="145"/>
        <v>226</v>
      </c>
      <c r="D1030" s="53"/>
      <c r="E1030" s="54"/>
      <c r="F1030" s="54"/>
      <c r="G1030" s="54"/>
      <c r="I1030" s="56"/>
      <c r="R1030" s="54"/>
      <c r="S1030" s="54"/>
      <c r="T1030" s="54"/>
      <c r="U1030" s="54">
        <f t="shared" si="142"/>
        <v>0</v>
      </c>
      <c r="V1030" s="54">
        <f t="shared" si="143"/>
        <v>0</v>
      </c>
      <c r="W1030" s="54">
        <f t="shared" si="144"/>
        <v>0</v>
      </c>
    </row>
    <row r="1031" spans="1:23" hidden="1" x14ac:dyDescent="0.25">
      <c r="A1031" s="52" t="str">
        <f t="shared" si="145"/>
        <v xml:space="preserve">    - мониторинг охранно-пожарной сигнализации</v>
      </c>
      <c r="B1031" s="52" t="str">
        <f t="shared" si="145"/>
        <v>244</v>
      </c>
      <c r="C1031" s="52" t="str">
        <f t="shared" si="145"/>
        <v>226</v>
      </c>
      <c r="D1031" s="53"/>
      <c r="E1031" s="54"/>
      <c r="F1031" s="54"/>
      <c r="G1031" s="54"/>
      <c r="I1031" s="56"/>
      <c r="R1031" s="54"/>
      <c r="S1031" s="54"/>
      <c r="T1031" s="54"/>
      <c r="U1031" s="54">
        <f t="shared" si="142"/>
        <v>0</v>
      </c>
      <c r="V1031" s="54">
        <f t="shared" si="143"/>
        <v>0</v>
      </c>
      <c r="W1031" s="54">
        <f t="shared" si="144"/>
        <v>0</v>
      </c>
    </row>
    <row r="1032" spans="1:23" hidden="1" x14ac:dyDescent="0.25">
      <c r="A1032" s="52" t="str">
        <f t="shared" si="145"/>
        <v xml:space="preserve">    - переплет документов</v>
      </c>
      <c r="B1032" s="52" t="str">
        <f t="shared" si="145"/>
        <v>244</v>
      </c>
      <c r="C1032" s="52" t="str">
        <f t="shared" si="145"/>
        <v>226</v>
      </c>
      <c r="D1032" s="53"/>
      <c r="E1032" s="54"/>
      <c r="F1032" s="54"/>
      <c r="G1032" s="54"/>
      <c r="I1032" s="56"/>
      <c r="R1032" s="54"/>
      <c r="S1032" s="54"/>
      <c r="T1032" s="54"/>
      <c r="U1032" s="54">
        <f t="shared" si="142"/>
        <v>0</v>
      </c>
      <c r="V1032" s="54">
        <f t="shared" si="143"/>
        <v>0</v>
      </c>
      <c r="W1032" s="54">
        <f t="shared" si="144"/>
        <v>0</v>
      </c>
    </row>
    <row r="1033" spans="1:23" hidden="1" x14ac:dyDescent="0.25">
      <c r="A1033" s="52" t="str">
        <f t="shared" si="145"/>
        <v xml:space="preserve">    - вневедомственная охрана</v>
      </c>
      <c r="B1033" s="52" t="str">
        <f t="shared" si="145"/>
        <v>244</v>
      </c>
      <c r="C1033" s="52" t="str">
        <f t="shared" si="145"/>
        <v>226</v>
      </c>
      <c r="D1033" s="53"/>
      <c r="E1033" s="54"/>
      <c r="F1033" s="54"/>
      <c r="G1033" s="54"/>
      <c r="I1033" s="56"/>
      <c r="R1033" s="54"/>
      <c r="S1033" s="54"/>
      <c r="T1033" s="54"/>
      <c r="U1033" s="54">
        <f t="shared" si="142"/>
        <v>0</v>
      </c>
      <c r="V1033" s="54">
        <f t="shared" si="143"/>
        <v>0</v>
      </c>
      <c r="W1033" s="54">
        <f t="shared" si="144"/>
        <v>0</v>
      </c>
    </row>
    <row r="1034" spans="1:23" hidden="1" x14ac:dyDescent="0.25">
      <c r="A1034" s="52" t="str">
        <f t="shared" si="145"/>
        <v xml:space="preserve">    - лицензированная охрана</v>
      </c>
      <c r="B1034" s="52" t="str">
        <f t="shared" si="145"/>
        <v>244</v>
      </c>
      <c r="C1034" s="52" t="str">
        <f t="shared" si="145"/>
        <v>226</v>
      </c>
      <c r="D1034" s="53"/>
      <c r="E1034" s="54"/>
      <c r="F1034" s="54"/>
      <c r="G1034" s="54"/>
      <c r="I1034" s="56"/>
      <c r="R1034" s="54"/>
      <c r="S1034" s="54"/>
      <c r="T1034" s="54"/>
      <c r="U1034" s="54">
        <f t="shared" si="142"/>
        <v>0</v>
      </c>
      <c r="V1034" s="54">
        <f t="shared" si="143"/>
        <v>0</v>
      </c>
      <c r="W1034" s="54">
        <f t="shared" si="144"/>
        <v>0</v>
      </c>
    </row>
    <row r="1035" spans="1:23" hidden="1" x14ac:dyDescent="0.25">
      <c r="A1035" s="52" t="str">
        <f t="shared" si="145"/>
        <v xml:space="preserve">    - курсы повышения квалификации</v>
      </c>
      <c r="B1035" s="52" t="str">
        <f t="shared" si="145"/>
        <v>244</v>
      </c>
      <c r="C1035" s="52" t="str">
        <f t="shared" si="145"/>
        <v>226</v>
      </c>
      <c r="D1035" s="53"/>
      <c r="E1035" s="54"/>
      <c r="F1035" s="54"/>
      <c r="G1035" s="54"/>
      <c r="I1035" s="56"/>
      <c r="R1035" s="54"/>
      <c r="S1035" s="54"/>
      <c r="T1035" s="54"/>
      <c r="U1035" s="54">
        <f t="shared" si="142"/>
        <v>0</v>
      </c>
      <c r="V1035" s="54">
        <f t="shared" si="143"/>
        <v>0</v>
      </c>
      <c r="W1035" s="54">
        <f t="shared" si="144"/>
        <v>0</v>
      </c>
    </row>
    <row r="1036" spans="1:23" hidden="1" x14ac:dyDescent="0.25">
      <c r="A1036" s="52" t="str">
        <f t="shared" si="145"/>
        <v xml:space="preserve">    - монтаж охранно-пожарной сигнализации</v>
      </c>
      <c r="B1036" s="52" t="str">
        <f t="shared" si="145"/>
        <v>244</v>
      </c>
      <c r="C1036" s="52" t="str">
        <f t="shared" si="145"/>
        <v>228</v>
      </c>
      <c r="D1036" s="53"/>
      <c r="E1036" s="54"/>
      <c r="F1036" s="54"/>
      <c r="G1036" s="54"/>
      <c r="I1036" s="56"/>
      <c r="R1036" s="54"/>
      <c r="S1036" s="54"/>
      <c r="T1036" s="54"/>
      <c r="U1036" s="54">
        <f t="shared" si="142"/>
        <v>0</v>
      </c>
      <c r="V1036" s="54">
        <f t="shared" si="143"/>
        <v>0</v>
      </c>
      <c r="W1036" s="54">
        <f t="shared" si="144"/>
        <v>0</v>
      </c>
    </row>
    <row r="1037" spans="1:23" ht="27.6" hidden="1" x14ac:dyDescent="0.25">
      <c r="A1037" s="52" t="str">
        <f t="shared" si="145"/>
        <v xml:space="preserve"> - выплаты ув.сотрудникам и их родственникам (3 дн.б/л, МП)</v>
      </c>
      <c r="B1037" s="52" t="str">
        <f t="shared" si="145"/>
        <v>321</v>
      </c>
      <c r="C1037" s="52" t="str">
        <f t="shared" si="145"/>
        <v>264</v>
      </c>
      <c r="D1037" s="60" t="s">
        <v>37</v>
      </c>
      <c r="E1037" s="54"/>
      <c r="F1037" s="54"/>
      <c r="G1037" s="54"/>
      <c r="I1037" s="56"/>
      <c r="R1037" s="54"/>
      <c r="S1037" s="54"/>
      <c r="T1037" s="54"/>
      <c r="U1037" s="54">
        <f t="shared" si="142"/>
        <v>0</v>
      </c>
      <c r="V1037" s="54">
        <f t="shared" si="143"/>
        <v>0</v>
      </c>
      <c r="W1037" s="54">
        <f t="shared" si="144"/>
        <v>0</v>
      </c>
    </row>
    <row r="1038" spans="1:23" hidden="1" x14ac:dyDescent="0.25">
      <c r="A1038" s="52" t="str">
        <f t="shared" si="145"/>
        <v xml:space="preserve"> - выплата МП неработающим пенсионерам</v>
      </c>
      <c r="B1038" s="52" t="str">
        <f t="shared" si="145"/>
        <v>321</v>
      </c>
      <c r="C1038" s="52" t="str">
        <f t="shared" si="145"/>
        <v>296</v>
      </c>
      <c r="D1038" s="60" t="s">
        <v>37</v>
      </c>
      <c r="E1038" s="54"/>
      <c r="F1038" s="54"/>
      <c r="G1038" s="54"/>
      <c r="I1038" s="56"/>
      <c r="R1038" s="54"/>
      <c r="S1038" s="54"/>
      <c r="T1038" s="54"/>
      <c r="U1038" s="54">
        <f t="shared" si="142"/>
        <v>0</v>
      </c>
      <c r="V1038" s="54">
        <f t="shared" si="143"/>
        <v>0</v>
      </c>
      <c r="W1038" s="54">
        <f t="shared" si="144"/>
        <v>0</v>
      </c>
    </row>
    <row r="1039" spans="1:23" s="58" customFormat="1" hidden="1" x14ac:dyDescent="0.25">
      <c r="A1039" s="52" t="str">
        <f t="shared" si="145"/>
        <v xml:space="preserve"> - прочие налоги и сборы</v>
      </c>
      <c r="B1039" s="52" t="str">
        <f t="shared" si="145"/>
        <v>852</v>
      </c>
      <c r="C1039" s="52" t="str">
        <f t="shared" si="145"/>
        <v>291</v>
      </c>
      <c r="D1039" s="53" t="s">
        <v>37</v>
      </c>
      <c r="E1039" s="54"/>
      <c r="F1039" s="54"/>
      <c r="G1039" s="54"/>
      <c r="H1039" s="57"/>
      <c r="I1039" s="57"/>
      <c r="R1039" s="54"/>
      <c r="S1039" s="54"/>
      <c r="T1039" s="54"/>
      <c r="U1039" s="54">
        <f t="shared" si="142"/>
        <v>0</v>
      </c>
      <c r="V1039" s="54">
        <f t="shared" si="143"/>
        <v>0</v>
      </c>
      <c r="W1039" s="54">
        <f t="shared" si="144"/>
        <v>0</v>
      </c>
    </row>
    <row r="1040" spans="1:23" s="58" customFormat="1" ht="41.4" hidden="1" x14ac:dyDescent="0.25">
      <c r="A1040" s="52" t="str">
        <f t="shared" si="145"/>
        <v xml:space="preserve"> - пеня</v>
      </c>
      <c r="B1040" s="52" t="str">
        <f t="shared" si="145"/>
        <v>853</v>
      </c>
      <c r="C1040" s="52" t="str">
        <f t="shared" si="145"/>
        <v>292,
295,
293</v>
      </c>
      <c r="D1040" s="53" t="s">
        <v>37</v>
      </c>
      <c r="E1040" s="54"/>
      <c r="F1040" s="54"/>
      <c r="G1040" s="54"/>
      <c r="I1040" s="57"/>
      <c r="R1040" s="54"/>
      <c r="S1040" s="54"/>
      <c r="T1040" s="54"/>
      <c r="U1040" s="54">
        <f t="shared" si="142"/>
        <v>0</v>
      </c>
      <c r="V1040" s="54">
        <f t="shared" si="143"/>
        <v>0</v>
      </c>
      <c r="W1040" s="54">
        <f t="shared" si="144"/>
        <v>0</v>
      </c>
    </row>
    <row r="1041" spans="1:23" hidden="1" x14ac:dyDescent="0.25">
      <c r="A1041" s="52" t="str">
        <f t="shared" ref="A1041:C1060" si="146">A141</f>
        <v xml:space="preserve"> - налог на имущество</v>
      </c>
      <c r="B1041" s="52" t="str">
        <f t="shared" si="146"/>
        <v>851</v>
      </c>
      <c r="C1041" s="52" t="str">
        <f t="shared" si="146"/>
        <v>291</v>
      </c>
      <c r="D1041" s="53" t="s">
        <v>37</v>
      </c>
      <c r="E1041" s="54"/>
      <c r="F1041" s="54"/>
      <c r="G1041" s="54"/>
      <c r="H1041" s="56"/>
      <c r="I1041" s="56"/>
      <c r="R1041" s="54"/>
      <c r="S1041" s="54"/>
      <c r="T1041" s="54"/>
      <c r="U1041" s="54">
        <f t="shared" si="142"/>
        <v>0</v>
      </c>
      <c r="V1041" s="54">
        <f t="shared" si="143"/>
        <v>0</v>
      </c>
      <c r="W1041" s="54">
        <f t="shared" si="144"/>
        <v>0</v>
      </c>
    </row>
    <row r="1042" spans="1:23" ht="27.6" hidden="1" x14ac:dyDescent="0.25">
      <c r="A1042" s="52" t="str">
        <f t="shared" si="146"/>
        <v xml:space="preserve"> - компенсация расходов (морального вреда) по решению суда</v>
      </c>
      <c r="B1042" s="52" t="str">
        <f t="shared" si="146"/>
        <v>831</v>
      </c>
      <c r="C1042" s="52" t="str">
        <f t="shared" si="146"/>
        <v>296</v>
      </c>
      <c r="D1042" s="53" t="s">
        <v>37</v>
      </c>
      <c r="E1042" s="54"/>
      <c r="F1042" s="54"/>
      <c r="G1042" s="54"/>
      <c r="H1042" s="56"/>
      <c r="I1042" s="56"/>
      <c r="R1042" s="54"/>
      <c r="S1042" s="54"/>
      <c r="T1042" s="54"/>
      <c r="U1042" s="54">
        <f t="shared" si="142"/>
        <v>0</v>
      </c>
      <c r="V1042" s="54">
        <f t="shared" si="143"/>
        <v>0</v>
      </c>
      <c r="W1042" s="54">
        <f t="shared" si="144"/>
        <v>0</v>
      </c>
    </row>
    <row r="1043" spans="1:23" ht="27.6" hidden="1" x14ac:dyDescent="0.25">
      <c r="A1043" s="52" t="str">
        <f t="shared" si="146"/>
        <v xml:space="preserve"> - разработка проектно-сметной документации на капитальный ремонт крыши</v>
      </c>
      <c r="B1043" s="52" t="str">
        <f t="shared" si="146"/>
        <v>243</v>
      </c>
      <c r="C1043" s="52" t="str">
        <f t="shared" si="146"/>
        <v>226</v>
      </c>
      <c r="D1043" s="53" t="s">
        <v>37</v>
      </c>
      <c r="E1043" s="54"/>
      <c r="F1043" s="54"/>
      <c r="G1043" s="54"/>
      <c r="H1043" s="56"/>
      <c r="I1043" s="56"/>
      <c r="R1043" s="54"/>
      <c r="S1043" s="54"/>
      <c r="T1043" s="54"/>
      <c r="U1043" s="54"/>
      <c r="V1043" s="54"/>
      <c r="W1043" s="54"/>
    </row>
    <row r="1044" spans="1:23" s="118" customFormat="1" hidden="1" x14ac:dyDescent="0.25">
      <c r="A1044" s="115" t="str">
        <f t="shared" si="146"/>
        <v xml:space="preserve"> - увеличение стоимости основных средств</v>
      </c>
      <c r="B1044" s="115" t="str">
        <f t="shared" si="146"/>
        <v>244</v>
      </c>
      <c r="C1044" s="115" t="str">
        <f t="shared" si="146"/>
        <v>310</v>
      </c>
      <c r="D1044" s="60"/>
      <c r="E1044" s="61">
        <f>SUM(E1045:E1053)</f>
        <v>0</v>
      </c>
      <c r="F1044" s="61">
        <f>SUM(F1045:F1053)</f>
        <v>0</v>
      </c>
      <c r="G1044" s="61">
        <f>SUM(G1045:G1053)</f>
        <v>0</v>
      </c>
      <c r="H1044" s="117"/>
      <c r="I1044" s="117"/>
      <c r="R1044" s="61"/>
      <c r="S1044" s="61"/>
      <c r="T1044" s="61"/>
      <c r="U1044" s="61">
        <f t="shared" ref="U1044:U1069" si="147">E1044-R1044</f>
        <v>0</v>
      </c>
      <c r="V1044" s="61">
        <f t="shared" ref="V1044:V1069" si="148">F1044-S1044</f>
        <v>0</v>
      </c>
      <c r="W1044" s="61">
        <f t="shared" ref="W1044:W1069" si="149">G1044-T1044</f>
        <v>0</v>
      </c>
    </row>
    <row r="1045" spans="1:23" s="118" customFormat="1" hidden="1" x14ac:dyDescent="0.25">
      <c r="A1045" s="64" t="str">
        <f t="shared" si="146"/>
        <v xml:space="preserve"> - компьютерная техника</v>
      </c>
      <c r="B1045" s="64" t="str">
        <f t="shared" si="146"/>
        <v>244</v>
      </c>
      <c r="C1045" s="64" t="str">
        <f t="shared" si="146"/>
        <v>310</v>
      </c>
      <c r="D1045" s="119"/>
      <c r="E1045" s="120"/>
      <c r="F1045" s="120"/>
      <c r="G1045" s="120"/>
      <c r="H1045" s="117"/>
      <c r="I1045" s="117"/>
      <c r="R1045" s="120"/>
      <c r="S1045" s="120"/>
      <c r="T1045" s="120"/>
      <c r="U1045" s="120">
        <f t="shared" si="147"/>
        <v>0</v>
      </c>
      <c r="V1045" s="120">
        <f t="shared" si="148"/>
        <v>0</v>
      </c>
      <c r="W1045" s="120">
        <f t="shared" si="149"/>
        <v>0</v>
      </c>
    </row>
    <row r="1046" spans="1:23" s="118" customFormat="1" hidden="1" x14ac:dyDescent="0.25">
      <c r="A1046" s="64" t="str">
        <f t="shared" si="146"/>
        <v xml:space="preserve"> - кондиционеры</v>
      </c>
      <c r="B1046" s="64" t="str">
        <f t="shared" si="146"/>
        <v>244</v>
      </c>
      <c r="C1046" s="64" t="str">
        <f t="shared" si="146"/>
        <v>310</v>
      </c>
      <c r="D1046" s="119"/>
      <c r="E1046" s="120"/>
      <c r="F1046" s="120"/>
      <c r="G1046" s="120"/>
      <c r="H1046" s="117"/>
      <c r="I1046" s="117"/>
      <c r="R1046" s="120"/>
      <c r="S1046" s="120"/>
      <c r="T1046" s="120"/>
      <c r="U1046" s="120">
        <f t="shared" si="147"/>
        <v>0</v>
      </c>
      <c r="V1046" s="120">
        <f t="shared" si="148"/>
        <v>0</v>
      </c>
      <c r="W1046" s="120">
        <f t="shared" si="149"/>
        <v>0</v>
      </c>
    </row>
    <row r="1047" spans="1:23" s="118" customFormat="1" hidden="1" x14ac:dyDescent="0.25">
      <c r="A1047" s="64" t="str">
        <f t="shared" si="146"/>
        <v xml:space="preserve"> - мебель</v>
      </c>
      <c r="B1047" s="64" t="str">
        <f t="shared" si="146"/>
        <v>244</v>
      </c>
      <c r="C1047" s="64" t="str">
        <f t="shared" si="146"/>
        <v>310</v>
      </c>
      <c r="D1047" s="119"/>
      <c r="E1047" s="120"/>
      <c r="F1047" s="120"/>
      <c r="G1047" s="120"/>
      <c r="H1047" s="117"/>
      <c r="I1047" s="117"/>
      <c r="R1047" s="120"/>
      <c r="S1047" s="120"/>
      <c r="T1047" s="120"/>
      <c r="U1047" s="120">
        <f t="shared" si="147"/>
        <v>0</v>
      </c>
      <c r="V1047" s="120">
        <f t="shared" si="148"/>
        <v>0</v>
      </c>
      <c r="W1047" s="120">
        <f t="shared" si="149"/>
        <v>0</v>
      </c>
    </row>
    <row r="1048" spans="1:23" s="118" customFormat="1" hidden="1" x14ac:dyDescent="0.25">
      <c r="A1048" s="64" t="str">
        <f t="shared" si="146"/>
        <v xml:space="preserve"> - оборудование</v>
      </c>
      <c r="B1048" s="64" t="str">
        <f t="shared" si="146"/>
        <v>244</v>
      </c>
      <c r="C1048" s="64" t="str">
        <f t="shared" si="146"/>
        <v>310</v>
      </c>
      <c r="D1048" s="119"/>
      <c r="E1048" s="120"/>
      <c r="F1048" s="120"/>
      <c r="G1048" s="120"/>
      <c r="H1048" s="117"/>
      <c r="I1048" s="117"/>
      <c r="R1048" s="120"/>
      <c r="S1048" s="120"/>
      <c r="T1048" s="120"/>
      <c r="U1048" s="120">
        <f t="shared" si="147"/>
        <v>0</v>
      </c>
      <c r="V1048" s="120">
        <f t="shared" si="148"/>
        <v>0</v>
      </c>
      <c r="W1048" s="120">
        <f t="shared" si="149"/>
        <v>0</v>
      </c>
    </row>
    <row r="1049" spans="1:23" s="118" customFormat="1" hidden="1" x14ac:dyDescent="0.25">
      <c r="A1049" s="64" t="str">
        <f t="shared" si="146"/>
        <v xml:space="preserve"> - инструмент и инвентарь</v>
      </c>
      <c r="B1049" s="64" t="str">
        <f t="shared" si="146"/>
        <v>244</v>
      </c>
      <c r="C1049" s="64" t="str">
        <f t="shared" si="146"/>
        <v>310</v>
      </c>
      <c r="D1049" s="119"/>
      <c r="E1049" s="120"/>
      <c r="F1049" s="120"/>
      <c r="G1049" s="120"/>
      <c r="H1049" s="117"/>
      <c r="I1049" s="117"/>
      <c r="R1049" s="120"/>
      <c r="S1049" s="120"/>
      <c r="T1049" s="120"/>
      <c r="U1049" s="120">
        <f t="shared" si="147"/>
        <v>0</v>
      </c>
      <c r="V1049" s="120">
        <f t="shared" si="148"/>
        <v>0</v>
      </c>
      <c r="W1049" s="120">
        <f t="shared" si="149"/>
        <v>0</v>
      </c>
    </row>
    <row r="1050" spans="1:23" s="118" customFormat="1" hidden="1" x14ac:dyDescent="0.25">
      <c r="A1050" s="64" t="str">
        <f t="shared" si="146"/>
        <v xml:space="preserve"> - турникет</v>
      </c>
      <c r="B1050" s="64" t="str">
        <f t="shared" si="146"/>
        <v>244</v>
      </c>
      <c r="C1050" s="64" t="str">
        <f t="shared" si="146"/>
        <v>310</v>
      </c>
      <c r="D1050" s="119"/>
      <c r="E1050" s="120"/>
      <c r="F1050" s="120"/>
      <c r="G1050" s="120"/>
      <c r="H1050" s="117"/>
      <c r="I1050" s="117"/>
      <c r="R1050" s="120"/>
      <c r="S1050" s="120"/>
      <c r="T1050" s="120"/>
      <c r="U1050" s="120">
        <f t="shared" si="147"/>
        <v>0</v>
      </c>
      <c r="V1050" s="120">
        <f t="shared" si="148"/>
        <v>0</v>
      </c>
      <c r="W1050" s="120">
        <f t="shared" si="149"/>
        <v>0</v>
      </c>
    </row>
    <row r="1051" spans="1:23" s="118" customFormat="1" hidden="1" x14ac:dyDescent="0.25">
      <c r="A1051" s="64" t="str">
        <f t="shared" si="146"/>
        <v xml:space="preserve"> - жалюзи</v>
      </c>
      <c r="B1051" s="64" t="str">
        <f t="shared" si="146"/>
        <v>244</v>
      </c>
      <c r="C1051" s="64" t="str">
        <f t="shared" si="146"/>
        <v>310</v>
      </c>
      <c r="D1051" s="119"/>
      <c r="E1051" s="120"/>
      <c r="F1051" s="120"/>
      <c r="G1051" s="120"/>
      <c r="H1051" s="117"/>
      <c r="I1051" s="117"/>
      <c r="R1051" s="120"/>
      <c r="S1051" s="120"/>
      <c r="T1051" s="120"/>
      <c r="U1051" s="120">
        <f t="shared" si="147"/>
        <v>0</v>
      </c>
      <c r="V1051" s="120">
        <f t="shared" si="148"/>
        <v>0</v>
      </c>
      <c r="W1051" s="120">
        <f t="shared" si="149"/>
        <v>0</v>
      </c>
    </row>
    <row r="1052" spans="1:23" s="118" customFormat="1" hidden="1" x14ac:dyDescent="0.25">
      <c r="A1052" s="64" t="str">
        <f t="shared" si="146"/>
        <v xml:space="preserve"> - игрушки</v>
      </c>
      <c r="B1052" s="64" t="str">
        <f t="shared" si="146"/>
        <v>244</v>
      </c>
      <c r="C1052" s="64" t="str">
        <f t="shared" si="146"/>
        <v>310</v>
      </c>
      <c r="D1052" s="119"/>
      <c r="E1052" s="120"/>
      <c r="F1052" s="120"/>
      <c r="G1052" s="120"/>
      <c r="H1052" s="117"/>
      <c r="I1052" s="117"/>
      <c r="R1052" s="120"/>
      <c r="S1052" s="120"/>
      <c r="T1052" s="120"/>
      <c r="U1052" s="120">
        <f t="shared" si="147"/>
        <v>0</v>
      </c>
      <c r="V1052" s="120">
        <f t="shared" si="148"/>
        <v>0</v>
      </c>
      <c r="W1052" s="120">
        <f t="shared" si="149"/>
        <v>0</v>
      </c>
    </row>
    <row r="1053" spans="1:23" s="118" customFormat="1" hidden="1" x14ac:dyDescent="0.25">
      <c r="A1053" s="64" t="str">
        <f t="shared" si="146"/>
        <v xml:space="preserve"> - металлические входные двери</v>
      </c>
      <c r="B1053" s="64" t="str">
        <f t="shared" si="146"/>
        <v>244</v>
      </c>
      <c r="C1053" s="64" t="str">
        <f t="shared" si="146"/>
        <v>310</v>
      </c>
      <c r="D1053" s="119"/>
      <c r="E1053" s="120"/>
      <c r="F1053" s="120"/>
      <c r="G1053" s="120"/>
      <c r="H1053" s="117"/>
      <c r="I1053" s="117"/>
      <c r="R1053" s="120"/>
      <c r="S1053" s="120"/>
      <c r="T1053" s="120"/>
      <c r="U1053" s="120">
        <f t="shared" si="147"/>
        <v>0</v>
      </c>
      <c r="V1053" s="120">
        <f t="shared" si="148"/>
        <v>0</v>
      </c>
      <c r="W1053" s="120">
        <f t="shared" si="149"/>
        <v>0</v>
      </c>
    </row>
    <row r="1054" spans="1:23" s="45" customFormat="1" ht="27.6" hidden="1" x14ac:dyDescent="0.25">
      <c r="A1054" s="52" t="str">
        <f t="shared" si="146"/>
        <v xml:space="preserve"> - увеличение стоимости материальных запасов, всего:</v>
      </c>
      <c r="B1054" s="52" t="str">
        <f t="shared" si="146"/>
        <v>244</v>
      </c>
      <c r="C1054" s="52" t="str">
        <f t="shared" si="146"/>
        <v>340</v>
      </c>
      <c r="D1054" s="104"/>
      <c r="E1054" s="62">
        <f>SUM(E1055:E1069)</f>
        <v>0</v>
      </c>
      <c r="F1054" s="62">
        <f>SUM(F1055:F1069)</f>
        <v>0</v>
      </c>
      <c r="G1054" s="62">
        <f>SUM(G1055:G1069)</f>
        <v>0</v>
      </c>
      <c r="H1054" s="63"/>
      <c r="I1054" s="63"/>
      <c r="R1054" s="62"/>
      <c r="S1054" s="62"/>
      <c r="T1054" s="62"/>
      <c r="U1054" s="62">
        <f t="shared" si="147"/>
        <v>0</v>
      </c>
      <c r="V1054" s="62">
        <f t="shared" si="148"/>
        <v>0</v>
      </c>
      <c r="W1054" s="62">
        <f t="shared" si="149"/>
        <v>0</v>
      </c>
    </row>
    <row r="1055" spans="1:23" s="58" customFormat="1" hidden="1" x14ac:dyDescent="0.25">
      <c r="A1055" s="52" t="str">
        <f t="shared" si="146"/>
        <v xml:space="preserve"> - ГСМ</v>
      </c>
      <c r="B1055" s="52" t="str">
        <f t="shared" si="146"/>
        <v>244</v>
      </c>
      <c r="C1055" s="52" t="str">
        <f t="shared" si="146"/>
        <v>343</v>
      </c>
      <c r="D1055" s="53"/>
      <c r="E1055" s="54"/>
      <c r="F1055" s="54"/>
      <c r="G1055" s="54"/>
      <c r="H1055" s="57"/>
      <c r="I1055" s="57"/>
      <c r="R1055" s="54"/>
      <c r="S1055" s="54"/>
      <c r="T1055" s="54"/>
      <c r="U1055" s="54">
        <f t="shared" si="147"/>
        <v>0</v>
      </c>
      <c r="V1055" s="54">
        <f t="shared" si="148"/>
        <v>0</v>
      </c>
      <c r="W1055" s="54">
        <f t="shared" si="149"/>
        <v>0</v>
      </c>
    </row>
    <row r="1056" spans="1:23" s="58" customFormat="1" hidden="1" x14ac:dyDescent="0.25">
      <c r="A1056" s="52" t="str">
        <f t="shared" si="146"/>
        <v xml:space="preserve"> - продукты питания</v>
      </c>
      <c r="B1056" s="52" t="str">
        <f t="shared" si="146"/>
        <v>244</v>
      </c>
      <c r="C1056" s="52" t="str">
        <f t="shared" si="146"/>
        <v>342</v>
      </c>
      <c r="D1056" s="53"/>
      <c r="E1056" s="54"/>
      <c r="F1056" s="54"/>
      <c r="G1056" s="54"/>
      <c r="H1056" s="57"/>
      <c r="I1056" s="57"/>
      <c r="R1056" s="54"/>
      <c r="S1056" s="54"/>
      <c r="T1056" s="54"/>
      <c r="U1056" s="54">
        <f t="shared" si="147"/>
        <v>0</v>
      </c>
      <c r="V1056" s="54">
        <f t="shared" si="148"/>
        <v>0</v>
      </c>
      <c r="W1056" s="54">
        <f t="shared" si="149"/>
        <v>0</v>
      </c>
    </row>
    <row r="1057" spans="1:23" s="58" customFormat="1" hidden="1" x14ac:dyDescent="0.25">
      <c r="A1057" s="52" t="str">
        <f t="shared" si="146"/>
        <v xml:space="preserve"> - расходные материалы к комп.технике</v>
      </c>
      <c r="B1057" s="52" t="str">
        <f t="shared" si="146"/>
        <v>244</v>
      </c>
      <c r="C1057" s="52" t="str">
        <f t="shared" si="146"/>
        <v>346</v>
      </c>
      <c r="D1057" s="53"/>
      <c r="E1057" s="54"/>
      <c r="F1057" s="54"/>
      <c r="G1057" s="54"/>
      <c r="H1057" s="57"/>
      <c r="I1057" s="57"/>
      <c r="R1057" s="54"/>
      <c r="S1057" s="54"/>
      <c r="T1057" s="54"/>
      <c r="U1057" s="54">
        <f t="shared" si="147"/>
        <v>0</v>
      </c>
      <c r="V1057" s="54">
        <f t="shared" si="148"/>
        <v>0</v>
      </c>
      <c r="W1057" s="54">
        <f t="shared" si="149"/>
        <v>0</v>
      </c>
    </row>
    <row r="1058" spans="1:23" s="58" customFormat="1" hidden="1" x14ac:dyDescent="0.25">
      <c r="A1058" s="52" t="str">
        <f t="shared" si="146"/>
        <v xml:space="preserve"> - медикаменты</v>
      </c>
      <c r="B1058" s="52" t="str">
        <f t="shared" si="146"/>
        <v>244</v>
      </c>
      <c r="C1058" s="52" t="str">
        <f t="shared" si="146"/>
        <v>341</v>
      </c>
      <c r="D1058" s="53"/>
      <c r="E1058" s="54"/>
      <c r="F1058" s="54"/>
      <c r="G1058" s="54"/>
      <c r="H1058" s="57"/>
      <c r="I1058" s="57"/>
      <c r="R1058" s="54"/>
      <c r="S1058" s="54"/>
      <c r="T1058" s="54"/>
      <c r="U1058" s="54">
        <f t="shared" si="147"/>
        <v>0</v>
      </c>
      <c r="V1058" s="54">
        <f t="shared" si="148"/>
        <v>0</v>
      </c>
      <c r="W1058" s="54">
        <f t="shared" si="149"/>
        <v>0</v>
      </c>
    </row>
    <row r="1059" spans="1:23" s="58" customFormat="1" hidden="1" x14ac:dyDescent="0.25">
      <c r="A1059" s="52" t="str">
        <f t="shared" si="146"/>
        <v xml:space="preserve"> - строительные материалы</v>
      </c>
      <c r="B1059" s="52" t="str">
        <f t="shared" si="146"/>
        <v>244</v>
      </c>
      <c r="C1059" s="52" t="str">
        <f t="shared" si="146"/>
        <v>344</v>
      </c>
      <c r="D1059" s="53"/>
      <c r="E1059" s="54"/>
      <c r="F1059" s="54"/>
      <c r="G1059" s="54"/>
      <c r="H1059" s="57"/>
      <c r="I1059" s="57"/>
      <c r="R1059" s="54"/>
      <c r="S1059" s="54"/>
      <c r="T1059" s="54"/>
      <c r="U1059" s="54">
        <f t="shared" si="147"/>
        <v>0</v>
      </c>
      <c r="V1059" s="54">
        <f t="shared" si="148"/>
        <v>0</v>
      </c>
      <c r="W1059" s="54">
        <f t="shared" si="149"/>
        <v>0</v>
      </c>
    </row>
    <row r="1060" spans="1:23" s="58" customFormat="1" hidden="1" x14ac:dyDescent="0.25">
      <c r="A1060" s="52" t="str">
        <f t="shared" si="146"/>
        <v xml:space="preserve"> - ворота, калитка</v>
      </c>
      <c r="B1060" s="52" t="str">
        <f t="shared" si="146"/>
        <v>244</v>
      </c>
      <c r="C1060" s="52" t="str">
        <f t="shared" si="146"/>
        <v>344</v>
      </c>
      <c r="D1060" s="53"/>
      <c r="E1060" s="54"/>
      <c r="F1060" s="54"/>
      <c r="G1060" s="54"/>
      <c r="H1060" s="57"/>
      <c r="I1060" s="57"/>
      <c r="R1060" s="54"/>
      <c r="S1060" s="54"/>
      <c r="T1060" s="54"/>
      <c r="U1060" s="54">
        <f t="shared" si="147"/>
        <v>0</v>
      </c>
      <c r="V1060" s="54">
        <f t="shared" si="148"/>
        <v>0</v>
      </c>
      <c r="W1060" s="54">
        <f t="shared" si="149"/>
        <v>0</v>
      </c>
    </row>
    <row r="1061" spans="1:23" s="58" customFormat="1" hidden="1" x14ac:dyDescent="0.25">
      <c r="A1061" s="52" t="str">
        <f t="shared" ref="A1061:C1069" si="150">A161</f>
        <v xml:space="preserve"> - канцелярские товары</v>
      </c>
      <c r="B1061" s="52" t="str">
        <f t="shared" si="150"/>
        <v>244</v>
      </c>
      <c r="C1061" s="52" t="str">
        <f t="shared" si="150"/>
        <v>346</v>
      </c>
      <c r="D1061" s="53"/>
      <c r="E1061" s="54"/>
      <c r="F1061" s="54"/>
      <c r="G1061" s="54"/>
      <c r="H1061" s="57"/>
      <c r="I1061" s="57"/>
      <c r="R1061" s="54"/>
      <c r="S1061" s="54"/>
      <c r="T1061" s="54"/>
      <c r="U1061" s="54">
        <f t="shared" si="147"/>
        <v>0</v>
      </c>
      <c r="V1061" s="54">
        <f t="shared" si="148"/>
        <v>0</v>
      </c>
      <c r="W1061" s="54">
        <f t="shared" si="149"/>
        <v>0</v>
      </c>
    </row>
    <row r="1062" spans="1:23" s="58" customFormat="1" hidden="1" x14ac:dyDescent="0.25">
      <c r="A1062" s="52" t="str">
        <f t="shared" si="150"/>
        <v xml:space="preserve"> - хозяйственные товары, электрика</v>
      </c>
      <c r="B1062" s="52" t="str">
        <f t="shared" si="150"/>
        <v>244</v>
      </c>
      <c r="C1062" s="52" t="str">
        <f t="shared" si="150"/>
        <v>346</v>
      </c>
      <c r="D1062" s="53"/>
      <c r="E1062" s="54"/>
      <c r="F1062" s="54"/>
      <c r="G1062" s="54"/>
      <c r="H1062" s="57"/>
      <c r="I1062" s="57"/>
      <c r="R1062" s="54"/>
      <c r="S1062" s="54"/>
      <c r="T1062" s="54"/>
      <c r="U1062" s="54">
        <f t="shared" si="147"/>
        <v>0</v>
      </c>
      <c r="V1062" s="54">
        <f t="shared" si="148"/>
        <v>0</v>
      </c>
      <c r="W1062" s="54">
        <f t="shared" si="149"/>
        <v>0</v>
      </c>
    </row>
    <row r="1063" spans="1:23" s="58" customFormat="1" hidden="1" x14ac:dyDescent="0.25">
      <c r="A1063" s="52" t="str">
        <f t="shared" si="150"/>
        <v xml:space="preserve"> - бланки</v>
      </c>
      <c r="B1063" s="52" t="str">
        <f t="shared" si="150"/>
        <v>244</v>
      </c>
      <c r="C1063" s="52" t="str">
        <f t="shared" si="150"/>
        <v>346</v>
      </c>
      <c r="D1063" s="53"/>
      <c r="E1063" s="54"/>
      <c r="F1063" s="54"/>
      <c r="G1063" s="54"/>
      <c r="H1063" s="57"/>
      <c r="I1063" s="57"/>
      <c r="R1063" s="54"/>
      <c r="S1063" s="54"/>
      <c r="T1063" s="54"/>
      <c r="U1063" s="54">
        <f t="shared" si="147"/>
        <v>0</v>
      </c>
      <c r="V1063" s="54">
        <f t="shared" si="148"/>
        <v>0</v>
      </c>
      <c r="W1063" s="54">
        <f t="shared" si="149"/>
        <v>0</v>
      </c>
    </row>
    <row r="1064" spans="1:23" s="58" customFormat="1" hidden="1" x14ac:dyDescent="0.25">
      <c r="A1064" s="52" t="str">
        <f t="shared" si="150"/>
        <v xml:space="preserve"> - моющие</v>
      </c>
      <c r="B1064" s="52" t="str">
        <f t="shared" si="150"/>
        <v>244</v>
      </c>
      <c r="C1064" s="52" t="str">
        <f t="shared" si="150"/>
        <v>346</v>
      </c>
      <c r="D1064" s="53"/>
      <c r="E1064" s="54"/>
      <c r="F1064" s="54"/>
      <c r="G1064" s="54"/>
      <c r="H1064" s="57"/>
      <c r="I1064" s="57"/>
      <c r="R1064" s="54"/>
      <c r="S1064" s="54"/>
      <c r="T1064" s="54"/>
      <c r="U1064" s="54">
        <f t="shared" si="147"/>
        <v>0</v>
      </c>
      <c r="V1064" s="54">
        <f t="shared" si="148"/>
        <v>0</v>
      </c>
      <c r="W1064" s="54">
        <f t="shared" si="149"/>
        <v>0</v>
      </c>
    </row>
    <row r="1065" spans="1:23" s="58" customFormat="1" hidden="1" x14ac:dyDescent="0.25">
      <c r="A1065" s="52" t="str">
        <f t="shared" si="150"/>
        <v xml:space="preserve"> - новогодние подарки детям сотрудников</v>
      </c>
      <c r="B1065" s="52" t="str">
        <f t="shared" si="150"/>
        <v>244</v>
      </c>
      <c r="C1065" s="52" t="str">
        <f t="shared" si="150"/>
        <v>349</v>
      </c>
      <c r="D1065" s="53"/>
      <c r="E1065" s="54"/>
      <c r="F1065" s="54"/>
      <c r="G1065" s="54"/>
      <c r="H1065" s="57"/>
      <c r="I1065" s="57"/>
      <c r="R1065" s="54"/>
      <c r="S1065" s="54"/>
      <c r="T1065" s="54"/>
      <c r="U1065" s="54">
        <f t="shared" si="147"/>
        <v>0</v>
      </c>
      <c r="V1065" s="54">
        <f t="shared" si="148"/>
        <v>0</v>
      </c>
      <c r="W1065" s="54">
        <f t="shared" si="149"/>
        <v>0</v>
      </c>
    </row>
    <row r="1066" spans="1:23" s="58" customFormat="1" hidden="1" x14ac:dyDescent="0.25">
      <c r="A1066" s="52" t="str">
        <f t="shared" si="150"/>
        <v xml:space="preserve"> - новогодние подарки сотрудникам</v>
      </c>
      <c r="B1066" s="52" t="str">
        <f t="shared" si="150"/>
        <v>244</v>
      </c>
      <c r="C1066" s="52" t="str">
        <f t="shared" si="150"/>
        <v>349</v>
      </c>
      <c r="D1066" s="53"/>
      <c r="E1066" s="54"/>
      <c r="F1066" s="54"/>
      <c r="G1066" s="54"/>
      <c r="H1066" s="57"/>
      <c r="I1066" s="57"/>
      <c r="R1066" s="54"/>
      <c r="S1066" s="54"/>
      <c r="T1066" s="54"/>
      <c r="U1066" s="54">
        <f t="shared" si="147"/>
        <v>0</v>
      </c>
      <c r="V1066" s="54">
        <f t="shared" si="148"/>
        <v>0</v>
      </c>
      <c r="W1066" s="54">
        <f t="shared" si="149"/>
        <v>0</v>
      </c>
    </row>
    <row r="1067" spans="1:23" s="58" customFormat="1" hidden="1" x14ac:dyDescent="0.25">
      <c r="A1067" s="52" t="str">
        <f t="shared" si="150"/>
        <v xml:space="preserve"> - прочие материальные запасы</v>
      </c>
      <c r="B1067" s="52" t="str">
        <f t="shared" si="150"/>
        <v>244</v>
      </c>
      <c r="C1067" s="52" t="str">
        <f t="shared" si="150"/>
        <v>346</v>
      </c>
      <c r="D1067" s="53"/>
      <c r="E1067" s="54"/>
      <c r="F1067" s="54"/>
      <c r="G1067" s="54"/>
      <c r="H1067" s="57"/>
      <c r="I1067" s="57"/>
      <c r="R1067" s="54"/>
      <c r="S1067" s="54"/>
      <c r="T1067" s="54"/>
      <c r="U1067" s="54">
        <f t="shared" si="147"/>
        <v>0</v>
      </c>
      <c r="V1067" s="54">
        <f t="shared" si="148"/>
        <v>0</v>
      </c>
      <c r="W1067" s="54">
        <f t="shared" si="149"/>
        <v>0</v>
      </c>
    </row>
    <row r="1068" spans="1:23" s="58" customFormat="1" hidden="1" x14ac:dyDescent="0.25">
      <c r="A1068" s="52" t="str">
        <f t="shared" si="150"/>
        <v xml:space="preserve"> - спецодежда МОП</v>
      </c>
      <c r="B1068" s="52" t="str">
        <f t="shared" si="150"/>
        <v>244</v>
      </c>
      <c r="C1068" s="52" t="str">
        <f t="shared" si="150"/>
        <v>345</v>
      </c>
      <c r="D1068" s="53"/>
      <c r="E1068" s="54"/>
      <c r="F1068" s="54"/>
      <c r="G1068" s="54"/>
      <c r="H1068" s="57"/>
      <c r="I1068" s="57"/>
      <c r="R1068" s="54"/>
      <c r="S1068" s="54"/>
      <c r="T1068" s="54"/>
      <c r="U1068" s="54">
        <f t="shared" si="147"/>
        <v>0</v>
      </c>
      <c r="V1068" s="54">
        <f t="shared" si="148"/>
        <v>0</v>
      </c>
      <c r="W1068" s="54">
        <f t="shared" si="149"/>
        <v>0</v>
      </c>
    </row>
    <row r="1069" spans="1:23" s="58" customFormat="1" hidden="1" x14ac:dyDescent="0.25">
      <c r="A1069" s="52" t="str">
        <f t="shared" si="150"/>
        <v xml:space="preserve"> - запчасти для а/м</v>
      </c>
      <c r="B1069" s="52" t="str">
        <f t="shared" si="150"/>
        <v>244</v>
      </c>
      <c r="C1069" s="52" t="str">
        <f t="shared" si="150"/>
        <v>346</v>
      </c>
      <c r="D1069" s="53"/>
      <c r="E1069" s="54"/>
      <c r="F1069" s="54"/>
      <c r="G1069" s="54"/>
      <c r="H1069" s="57"/>
      <c r="I1069" s="57"/>
      <c r="R1069" s="54"/>
      <c r="S1069" s="54"/>
      <c r="T1069" s="54"/>
      <c r="U1069" s="54">
        <f t="shared" si="147"/>
        <v>0</v>
      </c>
      <c r="V1069" s="54">
        <f t="shared" si="148"/>
        <v>0</v>
      </c>
      <c r="W1069" s="54">
        <f t="shared" si="149"/>
        <v>0</v>
      </c>
    </row>
    <row r="1070" spans="1:23" s="58" customFormat="1" x14ac:dyDescent="0.25">
      <c r="A1070" s="669"/>
      <c r="B1070" s="669"/>
      <c r="C1070" s="669"/>
      <c r="D1070" s="670"/>
      <c r="E1070" s="671"/>
      <c r="F1070" s="671"/>
      <c r="G1070" s="671"/>
      <c r="H1070" s="57"/>
      <c r="I1070" s="57"/>
      <c r="R1070" s="671"/>
      <c r="S1070" s="671"/>
      <c r="T1070" s="671"/>
      <c r="U1070" s="671"/>
      <c r="V1070" s="671"/>
      <c r="W1070" s="671"/>
    </row>
    <row r="1071" spans="1:23" s="58" customFormat="1" x14ac:dyDescent="0.25">
      <c r="A1071" s="672" t="str">
        <f>Форма!G15</f>
        <v>Заведующая МАДОУ № 169</v>
      </c>
      <c r="B1071" s="669"/>
      <c r="C1071" s="669"/>
      <c r="D1071" s="670"/>
      <c r="F1071" s="671" t="str">
        <f>Форма!G18</f>
        <v xml:space="preserve">      Л.А. Кириченко</v>
      </c>
      <c r="G1071" s="671"/>
      <c r="H1071" s="57"/>
      <c r="I1071" s="57"/>
      <c r="R1071" s="671"/>
      <c r="S1071" s="671"/>
      <c r="T1071" s="671"/>
      <c r="U1071" s="671"/>
      <c r="V1071" s="671"/>
      <c r="W1071" s="671"/>
    </row>
    <row r="1072" spans="1:23" s="58" customFormat="1" x14ac:dyDescent="0.25">
      <c r="A1072" s="673" t="str">
        <f>Форма!G16</f>
        <v>(Должность руководителя муниципального учреждения)</v>
      </c>
      <c r="B1072" s="669"/>
      <c r="C1072" s="669"/>
      <c r="E1072" s="674" t="str">
        <f>Форма!G19</f>
        <v>(подпись) (расшифровка подписи)</v>
      </c>
      <c r="F1072" s="671"/>
      <c r="G1072" s="671"/>
      <c r="H1072" s="57"/>
      <c r="I1072" s="57"/>
      <c r="R1072" s="671"/>
      <c r="S1072" s="671"/>
      <c r="T1072" s="671"/>
      <c r="U1072" s="671"/>
      <c r="V1072" s="671"/>
      <c r="W1072" s="671"/>
    </row>
    <row r="1073" spans="1:23" x14ac:dyDescent="0.25">
      <c r="A1073" s="72" t="str">
        <f>Форма!G21</f>
        <v>«          »                                   2024 г.</v>
      </c>
      <c r="B1073" s="74"/>
      <c r="C1073" s="74"/>
      <c r="D1073" s="74"/>
      <c r="E1073" s="75"/>
      <c r="F1073" s="75"/>
      <c r="G1073" s="75"/>
      <c r="R1073" s="75"/>
      <c r="S1073" s="75"/>
      <c r="T1073" s="75"/>
      <c r="U1073" s="75"/>
      <c r="V1073" s="75"/>
      <c r="W1073" s="75"/>
    </row>
    <row r="1074" spans="1:23" x14ac:dyDescent="0.25">
      <c r="A1074" s="72" t="s">
        <v>354</v>
      </c>
      <c r="B1074" s="74">
        <v>244</v>
      </c>
      <c r="C1074" s="74"/>
      <c r="D1074" s="74"/>
      <c r="E1074" s="75">
        <f>SUM(E87,E90,E91,E93,E94,E95,E119,E154,E144,E136)</f>
        <v>4298533.33</v>
      </c>
      <c r="F1074" s="75">
        <f>SUM(F87,F90,F91,F93,F94,F95,F119,F154,F144,F136)</f>
        <v>4052997</v>
      </c>
      <c r="G1074" s="75">
        <f>SUM(G87,G90,G91,G93,G94,G95,G119,G154,G144,G136)</f>
        <v>4052997</v>
      </c>
      <c r="R1074" s="75">
        <f t="shared" ref="R1074:W1074" si="151">SUM(R87,R90,R91,R93,R94,R95,R119,R154,R144)</f>
        <v>0</v>
      </c>
      <c r="S1074" s="75">
        <f t="shared" si="151"/>
        <v>0</v>
      </c>
      <c r="T1074" s="75">
        <f t="shared" si="151"/>
        <v>0</v>
      </c>
      <c r="U1074" s="75">
        <f t="shared" si="151"/>
        <v>4298533.33</v>
      </c>
      <c r="V1074" s="75">
        <f t="shared" si="151"/>
        <v>4052997</v>
      </c>
      <c r="W1074" s="75">
        <f t="shared" si="151"/>
        <v>4052997</v>
      </c>
    </row>
    <row r="1075" spans="1:23" x14ac:dyDescent="0.25">
      <c r="A1075" s="72"/>
      <c r="B1075" s="74"/>
      <c r="C1075" s="74">
        <v>220</v>
      </c>
      <c r="D1075" s="74"/>
      <c r="E1075" s="75">
        <f>E1074-E1076-E1077</f>
        <v>407290.32</v>
      </c>
      <c r="F1075" s="75">
        <f>F1074-F1076-F1077</f>
        <v>271483</v>
      </c>
      <c r="G1075" s="75">
        <f>G1074-G1076-G1077</f>
        <v>271483</v>
      </c>
      <c r="R1075" s="75">
        <f t="shared" ref="R1075:W1075" si="152">R1074-R1076-R1077</f>
        <v>0</v>
      </c>
      <c r="S1075" s="75">
        <f t="shared" si="152"/>
        <v>0</v>
      </c>
      <c r="T1075" s="75">
        <f t="shared" si="152"/>
        <v>0</v>
      </c>
      <c r="U1075" s="75">
        <f t="shared" si="152"/>
        <v>407290.32</v>
      </c>
      <c r="V1075" s="75">
        <f t="shared" si="152"/>
        <v>271483</v>
      </c>
      <c r="W1075" s="75">
        <f t="shared" si="152"/>
        <v>271483</v>
      </c>
    </row>
    <row r="1076" spans="1:23" x14ac:dyDescent="0.25">
      <c r="A1076" s="72"/>
      <c r="B1076" s="74"/>
      <c r="C1076" s="74">
        <v>310</v>
      </c>
      <c r="D1076" s="74"/>
      <c r="E1076" s="75">
        <f>SUM(E144)</f>
        <v>139935.60999999999</v>
      </c>
      <c r="F1076" s="75">
        <f>SUM(F144)</f>
        <v>206637</v>
      </c>
      <c r="G1076" s="75">
        <f>SUM(G144)</f>
        <v>206637</v>
      </c>
      <c r="R1076" s="75">
        <f t="shared" ref="R1076:W1076" si="153">SUM(R144)</f>
        <v>0</v>
      </c>
      <c r="S1076" s="75">
        <f t="shared" si="153"/>
        <v>0</v>
      </c>
      <c r="T1076" s="75">
        <f t="shared" si="153"/>
        <v>0</v>
      </c>
      <c r="U1076" s="75">
        <f t="shared" si="153"/>
        <v>139935.60999999999</v>
      </c>
      <c r="V1076" s="75">
        <f t="shared" si="153"/>
        <v>206637</v>
      </c>
      <c r="W1076" s="75">
        <f t="shared" si="153"/>
        <v>206637</v>
      </c>
    </row>
    <row r="1077" spans="1:23" x14ac:dyDescent="0.25">
      <c r="A1077" s="72"/>
      <c r="B1077" s="74"/>
      <c r="C1077" s="74">
        <v>340</v>
      </c>
      <c r="D1077" s="74"/>
      <c r="E1077" s="75">
        <f>SUM(E154)</f>
        <v>3751307.4</v>
      </c>
      <c r="F1077" s="75">
        <f>SUM(F154)</f>
        <v>3574877</v>
      </c>
      <c r="G1077" s="75">
        <f>SUM(G154)</f>
        <v>3574877</v>
      </c>
      <c r="R1077" s="75">
        <f t="shared" ref="R1077:W1077" si="154">SUM(R154)</f>
        <v>0</v>
      </c>
      <c r="S1077" s="75">
        <f t="shared" si="154"/>
        <v>0</v>
      </c>
      <c r="T1077" s="75">
        <f t="shared" si="154"/>
        <v>0</v>
      </c>
      <c r="U1077" s="75">
        <f t="shared" si="154"/>
        <v>3751307.4</v>
      </c>
      <c r="V1077" s="75">
        <f t="shared" si="154"/>
        <v>3574877</v>
      </c>
      <c r="W1077" s="75">
        <f t="shared" si="154"/>
        <v>3574877</v>
      </c>
    </row>
    <row r="1078" spans="1:23" x14ac:dyDescent="0.25">
      <c r="B1078" s="77">
        <v>247</v>
      </c>
      <c r="C1078" s="77">
        <v>223</v>
      </c>
      <c r="E1078" s="48">
        <f>E92</f>
        <v>58928.800000000003</v>
      </c>
      <c r="F1078" s="48">
        <f>F92</f>
        <v>9481</v>
      </c>
      <c r="G1078" s="48">
        <f>G92</f>
        <v>9481</v>
      </c>
      <c r="R1078" s="48"/>
      <c r="S1078" s="48"/>
      <c r="T1078" s="48"/>
      <c r="U1078" s="48"/>
      <c r="V1078" s="48"/>
      <c r="W1078" s="48"/>
    </row>
    <row r="1079" spans="1:23" x14ac:dyDescent="0.25">
      <c r="E1079" s="48"/>
      <c r="F1079" s="48"/>
      <c r="G1079" s="48"/>
      <c r="R1079" s="48"/>
      <c r="S1079" s="48"/>
      <c r="T1079" s="48"/>
      <c r="U1079" s="48"/>
      <c r="V1079" s="48"/>
      <c r="W1079" s="48"/>
    </row>
    <row r="1080" spans="1:23" x14ac:dyDescent="0.25">
      <c r="E1080" s="48"/>
      <c r="F1080" s="48"/>
      <c r="G1080" s="48"/>
      <c r="R1080" s="48"/>
      <c r="S1080" s="48"/>
      <c r="T1080" s="48"/>
      <c r="U1080" s="48"/>
      <c r="V1080" s="48"/>
      <c r="W1080" s="48"/>
    </row>
    <row r="1081" spans="1:23" x14ac:dyDescent="0.25">
      <c r="E1081" s="48"/>
      <c r="F1081" s="48"/>
      <c r="G1081" s="48"/>
      <c r="R1081" s="48"/>
      <c r="S1081" s="48"/>
      <c r="T1081" s="48"/>
      <c r="U1081" s="48"/>
      <c r="V1081" s="48"/>
      <c r="W1081" s="48"/>
    </row>
    <row r="1082" spans="1:23" x14ac:dyDescent="0.25">
      <c r="E1082" s="48"/>
      <c r="F1082" s="48"/>
      <c r="G1082" s="48"/>
      <c r="R1082" s="48"/>
      <c r="S1082" s="48"/>
      <c r="T1082" s="48"/>
      <c r="U1082" s="48"/>
      <c r="V1082" s="48"/>
      <c r="W1082" s="48"/>
    </row>
    <row r="1083" spans="1:23" x14ac:dyDescent="0.25">
      <c r="E1083" s="48"/>
      <c r="F1083" s="48"/>
      <c r="G1083" s="48"/>
      <c r="R1083" s="48"/>
      <c r="S1083" s="48"/>
      <c r="T1083" s="48"/>
      <c r="U1083" s="48"/>
      <c r="V1083" s="48"/>
      <c r="W1083" s="48"/>
    </row>
    <row r="1084" spans="1:23" x14ac:dyDescent="0.25">
      <c r="E1084" s="48"/>
      <c r="F1084" s="48"/>
      <c r="G1084" s="48"/>
      <c r="R1084" s="48"/>
      <c r="S1084" s="48"/>
      <c r="T1084" s="48"/>
      <c r="U1084" s="48"/>
      <c r="V1084" s="48"/>
      <c r="W1084" s="48"/>
    </row>
    <row r="1085" spans="1:23" x14ac:dyDescent="0.25">
      <c r="E1085" s="48"/>
      <c r="F1085" s="48"/>
      <c r="G1085" s="48"/>
      <c r="R1085" s="48"/>
      <c r="S1085" s="48"/>
      <c r="T1085" s="48"/>
      <c r="U1085" s="48"/>
      <c r="V1085" s="48"/>
      <c r="W1085" s="48"/>
    </row>
    <row r="1086" spans="1:23" x14ac:dyDescent="0.25">
      <c r="E1086" s="48"/>
      <c r="F1086" s="48"/>
      <c r="G1086" s="48"/>
      <c r="R1086" s="48"/>
      <c r="S1086" s="48"/>
      <c r="T1086" s="48"/>
      <c r="U1086" s="48"/>
      <c r="V1086" s="48"/>
      <c r="W1086" s="48"/>
    </row>
    <row r="1087" spans="1:23" x14ac:dyDescent="0.25">
      <c r="E1087" s="48"/>
      <c r="F1087" s="48"/>
      <c r="G1087" s="48"/>
      <c r="R1087" s="48"/>
      <c r="S1087" s="48"/>
      <c r="T1087" s="48"/>
      <c r="U1087" s="48"/>
      <c r="V1087" s="48"/>
      <c r="W1087" s="48"/>
    </row>
    <row r="1088" spans="1:23" x14ac:dyDescent="0.25">
      <c r="E1088" s="48"/>
      <c r="F1088" s="48"/>
      <c r="G1088" s="48"/>
      <c r="R1088" s="48"/>
      <c r="S1088" s="48"/>
      <c r="T1088" s="48"/>
      <c r="U1088" s="48"/>
      <c r="V1088" s="48"/>
      <c r="W1088" s="48"/>
    </row>
    <row r="1089" spans="5:23" x14ac:dyDescent="0.25">
      <c r="E1089" s="48"/>
      <c r="F1089" s="48"/>
      <c r="G1089" s="48"/>
      <c r="R1089" s="48"/>
      <c r="S1089" s="48"/>
      <c r="T1089" s="48"/>
      <c r="U1089" s="48"/>
      <c r="V1089" s="48"/>
      <c r="W1089" s="48"/>
    </row>
    <row r="1090" spans="5:23" x14ac:dyDescent="0.25">
      <c r="E1090" s="48"/>
      <c r="F1090" s="48"/>
      <c r="G1090" s="48"/>
      <c r="R1090" s="48"/>
      <c r="S1090" s="48"/>
      <c r="T1090" s="48"/>
      <c r="U1090" s="48"/>
      <c r="V1090" s="48"/>
      <c r="W1090" s="48"/>
    </row>
    <row r="1091" spans="5:23" x14ac:dyDescent="0.25">
      <c r="E1091" s="48"/>
      <c r="F1091" s="48"/>
      <c r="G1091" s="48"/>
      <c r="R1091" s="48"/>
      <c r="S1091" s="48"/>
      <c r="T1091" s="48"/>
      <c r="U1091" s="48"/>
      <c r="V1091" s="48"/>
      <c r="W1091" s="48"/>
    </row>
    <row r="1092" spans="5:23" x14ac:dyDescent="0.25">
      <c r="E1092" s="48"/>
      <c r="F1092" s="48"/>
      <c r="G1092" s="48"/>
      <c r="R1092" s="48"/>
      <c r="S1092" s="48"/>
      <c r="T1092" s="48"/>
      <c r="U1092" s="48"/>
      <c r="V1092" s="48"/>
      <c r="W1092" s="48"/>
    </row>
    <row r="1093" spans="5:23" x14ac:dyDescent="0.25">
      <c r="E1093" s="48"/>
      <c r="F1093" s="48"/>
      <c r="G1093" s="48"/>
      <c r="R1093" s="48"/>
      <c r="S1093" s="48"/>
      <c r="T1093" s="48"/>
      <c r="U1093" s="48"/>
      <c r="V1093" s="48"/>
      <c r="W1093" s="48"/>
    </row>
    <row r="1094" spans="5:23" x14ac:dyDescent="0.25">
      <c r="E1094" s="48"/>
      <c r="F1094" s="48"/>
      <c r="G1094" s="48"/>
      <c r="R1094" s="48"/>
      <c r="S1094" s="48"/>
      <c r="T1094" s="48"/>
      <c r="U1094" s="48"/>
      <c r="V1094" s="48"/>
      <c r="W1094" s="48"/>
    </row>
    <row r="1095" spans="5:23" x14ac:dyDescent="0.25">
      <c r="E1095" s="48"/>
      <c r="F1095" s="48"/>
      <c r="G1095" s="48"/>
      <c r="R1095" s="48"/>
      <c r="S1095" s="48"/>
      <c r="T1095" s="48"/>
      <c r="U1095" s="48"/>
      <c r="V1095" s="48"/>
      <c r="W1095" s="48"/>
    </row>
    <row r="1096" spans="5:23" x14ac:dyDescent="0.25">
      <c r="E1096" s="48"/>
      <c r="F1096" s="48"/>
      <c r="G1096" s="48"/>
      <c r="R1096" s="48"/>
      <c r="S1096" s="48"/>
      <c r="T1096" s="48"/>
      <c r="U1096" s="48"/>
      <c r="V1096" s="48"/>
      <c r="W1096" s="48"/>
    </row>
    <row r="1097" spans="5:23" x14ac:dyDescent="0.25">
      <c r="E1097" s="48"/>
      <c r="F1097" s="48"/>
      <c r="G1097" s="48"/>
      <c r="R1097" s="48"/>
      <c r="S1097" s="48"/>
      <c r="T1097" s="48"/>
      <c r="U1097" s="48"/>
      <c r="V1097" s="48"/>
      <c r="W1097" s="48"/>
    </row>
    <row r="1098" spans="5:23" x14ac:dyDescent="0.25">
      <c r="E1098" s="48"/>
      <c r="F1098" s="48"/>
      <c r="G1098" s="48"/>
      <c r="R1098" s="48"/>
      <c r="S1098" s="48"/>
      <c r="T1098" s="48"/>
      <c r="U1098" s="48"/>
      <c r="V1098" s="48"/>
      <c r="W1098" s="48"/>
    </row>
    <row r="1099" spans="5:23" x14ac:dyDescent="0.25">
      <c r="E1099" s="48"/>
      <c r="F1099" s="48"/>
      <c r="G1099" s="48"/>
      <c r="R1099" s="48"/>
      <c r="S1099" s="48"/>
      <c r="T1099" s="48"/>
      <c r="U1099" s="48"/>
      <c r="V1099" s="48"/>
      <c r="W1099" s="48"/>
    </row>
    <row r="1100" spans="5:23" x14ac:dyDescent="0.25">
      <c r="E1100" s="48"/>
      <c r="F1100" s="48"/>
      <c r="G1100" s="48"/>
      <c r="R1100" s="48"/>
      <c r="S1100" s="48"/>
      <c r="T1100" s="48"/>
      <c r="U1100" s="48"/>
      <c r="V1100" s="48"/>
      <c r="W1100" s="48"/>
    </row>
    <row r="1101" spans="5:23" x14ac:dyDescent="0.25">
      <c r="E1101" s="48"/>
      <c r="F1101" s="48"/>
      <c r="G1101" s="48"/>
      <c r="R1101" s="48"/>
      <c r="S1101" s="48"/>
      <c r="T1101" s="48"/>
      <c r="U1101" s="48"/>
      <c r="V1101" s="48"/>
      <c r="W1101" s="48"/>
    </row>
    <row r="1102" spans="5:23" x14ac:dyDescent="0.25">
      <c r="E1102" s="48"/>
      <c r="F1102" s="48"/>
      <c r="G1102" s="48"/>
      <c r="R1102" s="48"/>
      <c r="S1102" s="48"/>
      <c r="T1102" s="48"/>
      <c r="U1102" s="48"/>
      <c r="V1102" s="48"/>
      <c r="W1102" s="48"/>
    </row>
    <row r="1103" spans="5:23" x14ac:dyDescent="0.25">
      <c r="E1103" s="48"/>
      <c r="F1103" s="48"/>
      <c r="G1103" s="48"/>
      <c r="R1103" s="48"/>
      <c r="S1103" s="48"/>
      <c r="T1103" s="48"/>
      <c r="U1103" s="48"/>
      <c r="V1103" s="48"/>
      <c r="W1103" s="48"/>
    </row>
    <row r="1104" spans="5:23" x14ac:dyDescent="0.25">
      <c r="E1104" s="48"/>
      <c r="F1104" s="48"/>
      <c r="G1104" s="48"/>
      <c r="R1104" s="48"/>
      <c r="S1104" s="48"/>
      <c r="T1104" s="48"/>
      <c r="U1104" s="48"/>
      <c r="V1104" s="48"/>
      <c r="W1104" s="48"/>
    </row>
    <row r="1105" spans="5:23" x14ac:dyDescent="0.25">
      <c r="E1105" s="48"/>
      <c r="F1105" s="48"/>
      <c r="G1105" s="48"/>
      <c r="R1105" s="48"/>
      <c r="S1105" s="48"/>
      <c r="T1105" s="48"/>
      <c r="U1105" s="48"/>
      <c r="V1105" s="48"/>
      <c r="W1105" s="48"/>
    </row>
    <row r="1106" spans="5:23" x14ac:dyDescent="0.25">
      <c r="E1106" s="48"/>
      <c r="F1106" s="48"/>
      <c r="G1106" s="48"/>
      <c r="R1106" s="48"/>
      <c r="S1106" s="48"/>
      <c r="T1106" s="48"/>
      <c r="U1106" s="48"/>
      <c r="V1106" s="48"/>
      <c r="W1106" s="48"/>
    </row>
    <row r="1107" spans="5:23" x14ac:dyDescent="0.25">
      <c r="E1107" s="48"/>
      <c r="F1107" s="48"/>
      <c r="G1107" s="48"/>
      <c r="R1107" s="48"/>
      <c r="S1107" s="48"/>
      <c r="T1107" s="48"/>
      <c r="U1107" s="48"/>
      <c r="V1107" s="48"/>
      <c r="W1107" s="48"/>
    </row>
    <row r="1108" spans="5:23" x14ac:dyDescent="0.25">
      <c r="E1108" s="48"/>
      <c r="F1108" s="48"/>
      <c r="G1108" s="48"/>
      <c r="R1108" s="48"/>
      <c r="S1108" s="48"/>
      <c r="T1108" s="48"/>
      <c r="U1108" s="48"/>
      <c r="V1108" s="48"/>
      <c r="W1108" s="48"/>
    </row>
    <row r="1109" spans="5:23" x14ac:dyDescent="0.25">
      <c r="E1109" s="48"/>
      <c r="F1109" s="48"/>
      <c r="G1109" s="48"/>
      <c r="R1109" s="48"/>
      <c r="S1109" s="48"/>
      <c r="T1109" s="48"/>
      <c r="U1109" s="48"/>
      <c r="V1109" s="48"/>
      <c r="W1109" s="48"/>
    </row>
    <row r="1110" spans="5:23" x14ac:dyDescent="0.25">
      <c r="E1110" s="48"/>
      <c r="F1110" s="48"/>
      <c r="G1110" s="48"/>
      <c r="R1110" s="48"/>
      <c r="S1110" s="48"/>
      <c r="T1110" s="48"/>
      <c r="U1110" s="48"/>
      <c r="V1110" s="48"/>
      <c r="W1110" s="48"/>
    </row>
    <row r="1111" spans="5:23" x14ac:dyDescent="0.25">
      <c r="E1111" s="48"/>
      <c r="F1111" s="48"/>
      <c r="G1111" s="48"/>
      <c r="R1111" s="48"/>
      <c r="S1111" s="48"/>
      <c r="T1111" s="48"/>
      <c r="U1111" s="48"/>
      <c r="V1111" s="48"/>
      <c r="W1111" s="48"/>
    </row>
    <row r="1112" spans="5:23" x14ac:dyDescent="0.25">
      <c r="E1112" s="48"/>
      <c r="F1112" s="48"/>
      <c r="G1112" s="48"/>
      <c r="R1112" s="48"/>
      <c r="S1112" s="48"/>
      <c r="T1112" s="48"/>
      <c r="U1112" s="48"/>
      <c r="V1112" s="48"/>
      <c r="W1112" s="48"/>
    </row>
    <row r="1113" spans="5:23" x14ac:dyDescent="0.25">
      <c r="E1113" s="48"/>
      <c r="F1113" s="48"/>
      <c r="G1113" s="48"/>
      <c r="R1113" s="48"/>
      <c r="S1113" s="48"/>
      <c r="T1113" s="48"/>
      <c r="U1113" s="48"/>
      <c r="V1113" s="48"/>
      <c r="W1113" s="48"/>
    </row>
    <row r="1114" spans="5:23" x14ac:dyDescent="0.25">
      <c r="E1114" s="48"/>
      <c r="F1114" s="48"/>
      <c r="G1114" s="48"/>
      <c r="R1114" s="48"/>
      <c r="S1114" s="48"/>
      <c r="T1114" s="48"/>
      <c r="U1114" s="48"/>
      <c r="V1114" s="48"/>
      <c r="W1114" s="48"/>
    </row>
  </sheetData>
  <autoFilter ref="A12:W1069"/>
  <mergeCells count="9">
    <mergeCell ref="U10:W10"/>
    <mergeCell ref="U9:W9"/>
    <mergeCell ref="R10:T10"/>
    <mergeCell ref="D10:D11"/>
    <mergeCell ref="A10:A11"/>
    <mergeCell ref="B10:B11"/>
    <mergeCell ref="C10:C11"/>
    <mergeCell ref="E10:G10"/>
    <mergeCell ref="R9:T9"/>
  </mergeCells>
  <pageMargins left="0.19685039370078741" right="0.19685039370078741" top="0.19685039370078741" bottom="0.19685039370078741" header="0" footer="0"/>
  <pageSetup paperSize="9" scale="55" fitToHeight="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6"/>
  <sheetViews>
    <sheetView view="pageBreakPreview" zoomScale="90" zoomScaleNormal="70" zoomScaleSheetLayoutView="90" workbookViewId="0">
      <pane xSplit="2" ySplit="5" topLeftCell="C6" activePane="bottomRight" state="frozen"/>
      <selection activeCell="B169" sqref="B169:I169"/>
      <selection pane="topRight" activeCell="B169" sqref="B169:I169"/>
      <selection pane="bottomLeft" activeCell="B169" sqref="B169:I169"/>
      <selection pane="bottomRight" activeCell="F25" sqref="F25"/>
    </sheetView>
  </sheetViews>
  <sheetFormatPr defaultRowHeight="13.8" x14ac:dyDescent="0.25"/>
  <cols>
    <col min="1" max="1" width="11.6640625" customWidth="1"/>
    <col min="2" max="2" width="40.6640625" customWidth="1"/>
    <col min="3" max="3" width="6.6640625" customWidth="1"/>
    <col min="4" max="6" width="13.5546875" customWidth="1"/>
    <col min="7" max="18" width="12" customWidth="1"/>
    <col min="19" max="21" width="13.33203125" customWidth="1"/>
    <col min="22" max="24" width="12" customWidth="1"/>
  </cols>
  <sheetData>
    <row r="1" spans="1:24" x14ac:dyDescent="0.25">
      <c r="B1" s="938" t="str">
        <f>[1]Форма!B42</f>
        <v>"Общеобразовательная школа психолого-педагогической поддержки с осуществлением иедицинской реабилитации детей с нарушением опорно-двигательного аппарата №100"</v>
      </c>
      <c r="C1" s="939"/>
      <c r="D1" s="942" t="s">
        <v>355</v>
      </c>
      <c r="E1" s="943"/>
      <c r="F1" s="944"/>
      <c r="G1" s="948" t="s">
        <v>356</v>
      </c>
      <c r="H1" s="949"/>
      <c r="I1" s="949"/>
      <c r="J1" s="949"/>
      <c r="K1" s="949"/>
      <c r="L1" s="949"/>
      <c r="M1" s="949"/>
      <c r="N1" s="949"/>
      <c r="O1" s="949"/>
      <c r="P1" s="949" t="s">
        <v>357</v>
      </c>
      <c r="Q1" s="949"/>
      <c r="R1" s="949"/>
      <c r="S1" s="949"/>
      <c r="T1" s="949"/>
      <c r="U1" s="949"/>
      <c r="V1" s="949"/>
      <c r="W1" s="949"/>
      <c r="X1" s="949"/>
    </row>
    <row r="2" spans="1:24" ht="14.4" thickBot="1" x14ac:dyDescent="0.3">
      <c r="B2" s="940"/>
      <c r="C2" s="941"/>
      <c r="D2" s="945"/>
      <c r="E2" s="946"/>
      <c r="F2" s="947"/>
      <c r="G2" s="936" t="s">
        <v>358</v>
      </c>
      <c r="H2" s="932"/>
      <c r="I2" s="932"/>
      <c r="J2" s="932" t="s">
        <v>359</v>
      </c>
      <c r="K2" s="932"/>
      <c r="L2" s="932"/>
      <c r="M2" s="932"/>
      <c r="N2" s="932"/>
      <c r="O2" s="932"/>
      <c r="P2" s="932" t="s">
        <v>360</v>
      </c>
      <c r="Q2" s="932"/>
      <c r="R2" s="932"/>
      <c r="S2" s="951" t="s">
        <v>361</v>
      </c>
      <c r="T2" s="951"/>
      <c r="U2" s="951"/>
      <c r="V2" s="932"/>
      <c r="W2" s="932"/>
      <c r="X2" s="932"/>
    </row>
    <row r="3" spans="1:24" x14ac:dyDescent="0.25">
      <c r="B3" s="952" t="str">
        <f>'[1]Утверждено (МЗ,ИЦ,КАП)'!A2</f>
        <v>Муниципальное бюджетное образовательное учреждение "Общеобразовательная школа психолого-педагогической поддержки с осуществлением медицинской реабилитации детей с нарушением опорно-двигательного аппарата №100"</v>
      </c>
      <c r="C3" s="937" t="s">
        <v>234</v>
      </c>
      <c r="D3" s="945"/>
      <c r="E3" s="946"/>
      <c r="F3" s="947"/>
      <c r="G3" s="936"/>
      <c r="H3" s="932"/>
      <c r="I3" s="932"/>
      <c r="J3" s="932" t="s">
        <v>209</v>
      </c>
      <c r="K3" s="932"/>
      <c r="L3" s="932"/>
      <c r="M3" s="932" t="s">
        <v>362</v>
      </c>
      <c r="N3" s="932"/>
      <c r="O3" s="932"/>
      <c r="P3" s="932"/>
      <c r="Q3" s="932"/>
      <c r="R3" s="950"/>
      <c r="S3" s="933" t="s">
        <v>363</v>
      </c>
      <c r="T3" s="934"/>
      <c r="U3" s="935"/>
      <c r="V3" s="936" t="s">
        <v>1213</v>
      </c>
      <c r="W3" s="932"/>
      <c r="X3" s="932"/>
    </row>
    <row r="4" spans="1:24" s="4" customFormat="1" ht="55.2" x14ac:dyDescent="0.25">
      <c r="B4" s="953"/>
      <c r="C4" s="937"/>
      <c r="D4" s="89" t="str">
        <f>[1]Форма!F171</f>
        <v>на 2023 г. текущий финансовый год</v>
      </c>
      <c r="E4" s="90" t="str">
        <f>[1]Форма!G171</f>
        <v>на 2024 г. первый год планового периода</v>
      </c>
      <c r="F4" s="91" t="str">
        <f>[1]Форма!H171</f>
        <v>на 2025 г. второй год планового периода</v>
      </c>
      <c r="G4" s="92" t="str">
        <f>D4</f>
        <v>на 2023 г. текущий финансовый год</v>
      </c>
      <c r="H4" s="90" t="str">
        <f t="shared" ref="H4:O4" si="0">E4</f>
        <v>на 2024 г. первый год планового периода</v>
      </c>
      <c r="I4" s="90" t="str">
        <f t="shared" si="0"/>
        <v>на 2025 г. второй год планового периода</v>
      </c>
      <c r="J4" s="90" t="str">
        <f t="shared" si="0"/>
        <v>на 2023 г. текущий финансовый год</v>
      </c>
      <c r="K4" s="90" t="str">
        <f t="shared" si="0"/>
        <v>на 2024 г. первый год планового периода</v>
      </c>
      <c r="L4" s="90" t="str">
        <f t="shared" si="0"/>
        <v>на 2025 г. второй год планового периода</v>
      </c>
      <c r="M4" s="90" t="str">
        <f t="shared" si="0"/>
        <v>на 2023 г. текущий финансовый год</v>
      </c>
      <c r="N4" s="90" t="str">
        <f t="shared" si="0"/>
        <v>на 2024 г. первый год планового периода</v>
      </c>
      <c r="O4" s="90" t="str">
        <f t="shared" si="0"/>
        <v>на 2025 г. второй год планового периода</v>
      </c>
      <c r="P4" s="90" t="str">
        <f>M4</f>
        <v>на 2023 г. текущий финансовый год</v>
      </c>
      <c r="Q4" s="90" t="str">
        <f t="shared" ref="Q4:X4" si="1">N4</f>
        <v>на 2024 г. первый год планового периода</v>
      </c>
      <c r="R4" s="93" t="str">
        <f t="shared" si="1"/>
        <v>на 2025 г. второй год планового периода</v>
      </c>
      <c r="S4" s="89" t="str">
        <f t="shared" si="1"/>
        <v>на 2023 г. текущий финансовый год</v>
      </c>
      <c r="T4" s="90" t="str">
        <f t="shared" si="1"/>
        <v>на 2024 г. первый год планового периода</v>
      </c>
      <c r="U4" s="91" t="str">
        <f t="shared" si="1"/>
        <v>на 2025 г. второй год планового периода</v>
      </c>
      <c r="V4" s="92" t="str">
        <f t="shared" si="1"/>
        <v>на 2023 г. текущий финансовый год</v>
      </c>
      <c r="W4" s="90" t="str">
        <f t="shared" si="1"/>
        <v>на 2024 г. первый год планового периода</v>
      </c>
      <c r="X4" s="90" t="str">
        <f t="shared" si="1"/>
        <v>на 2025 г. второй год планового периода</v>
      </c>
    </row>
    <row r="5" spans="1:24" x14ac:dyDescent="0.25">
      <c r="B5" s="954"/>
      <c r="C5" s="937"/>
      <c r="D5" s="725">
        <f>SUM(D6:D24)</f>
        <v>22430694.559999999</v>
      </c>
      <c r="E5" s="726">
        <f t="shared" ref="E5:X5" si="2">SUM(E6:E24)</f>
        <v>17194336.859999999</v>
      </c>
      <c r="F5" s="727">
        <f t="shared" si="2"/>
        <v>17194336.859999999</v>
      </c>
      <c r="G5" s="728">
        <f t="shared" si="2"/>
        <v>0</v>
      </c>
      <c r="H5" s="726">
        <f t="shared" si="2"/>
        <v>0</v>
      </c>
      <c r="I5" s="726">
        <f t="shared" si="2"/>
        <v>0</v>
      </c>
      <c r="J5" s="726">
        <f t="shared" si="2"/>
        <v>0</v>
      </c>
      <c r="K5" s="726">
        <f t="shared" si="2"/>
        <v>0</v>
      </c>
      <c r="L5" s="726">
        <f t="shared" si="2"/>
        <v>0</v>
      </c>
      <c r="M5" s="726">
        <f t="shared" si="2"/>
        <v>0</v>
      </c>
      <c r="N5" s="726">
        <f t="shared" si="2"/>
        <v>0</v>
      </c>
      <c r="O5" s="726">
        <f t="shared" si="2"/>
        <v>0</v>
      </c>
      <c r="P5" s="726">
        <f t="shared" si="2"/>
        <v>0</v>
      </c>
      <c r="Q5" s="726">
        <f t="shared" si="2"/>
        <v>0</v>
      </c>
      <c r="R5" s="729">
        <f t="shared" si="2"/>
        <v>0</v>
      </c>
      <c r="S5" s="725">
        <f t="shared" si="2"/>
        <v>0</v>
      </c>
      <c r="T5" s="726">
        <f t="shared" si="2"/>
        <v>0</v>
      </c>
      <c r="U5" s="727">
        <f t="shared" si="2"/>
        <v>0</v>
      </c>
      <c r="V5" s="728">
        <f t="shared" si="2"/>
        <v>0</v>
      </c>
      <c r="W5" s="726">
        <f t="shared" si="2"/>
        <v>0</v>
      </c>
      <c r="X5" s="726">
        <f t="shared" si="2"/>
        <v>0</v>
      </c>
    </row>
    <row r="6" spans="1:24" x14ac:dyDescent="0.25">
      <c r="A6" t="s">
        <v>1214</v>
      </c>
      <c r="B6" s="94" t="str">
        <f>'[1]Утверждено (МЗ,ИЦ,КАП)'!A6</f>
        <v>911 0702 09100 29140 611 241</v>
      </c>
      <c r="C6" s="740" t="s">
        <v>259</v>
      </c>
      <c r="D6" s="730">
        <f>'Утверждено (МЗ,ИЦ,КАП)'!F13+'Утверждено (МЗ,ИЦ,КАП)'!F17+'Утверждено (МЗ,ИЦ,КАП)'!F19+'Утверждено (МЗ,ИЦ,КАП)'!F21+'Утверждено (МЗ,ИЦ,КАП)'!F60+'Утверждено (МЗ,ИЦ,КАП)'!F91</f>
        <v>854833.09</v>
      </c>
      <c r="E6" s="730">
        <f>'Утверждено (МЗ,ИЦ,КАП)'!G13+'Утверждено (МЗ,ИЦ,КАП)'!G17+'Утверждено (МЗ,ИЦ,КАП)'!G19+'Утверждено (МЗ,ИЦ,КАП)'!G21+'Утверждено (МЗ,ИЦ,КАП)'!G60+'Утверждено (МЗ,ИЦ,КАП)'!G91</f>
        <v>463302.27</v>
      </c>
      <c r="F6" s="744">
        <f>'Утверждено (МЗ,ИЦ,КАП)'!H13+'Утверждено (МЗ,ИЦ,КАП)'!H17+'Утверждено (МЗ,ИЦ,КАП)'!H19+'Утверждено (МЗ,ИЦ,КАП)'!H21+'Утверждено (МЗ,ИЦ,КАП)'!H60+'Утверждено (МЗ,ИЦ,КАП)'!H91</f>
        <v>463302.27</v>
      </c>
      <c r="G6" s="98"/>
      <c r="H6" s="96"/>
      <c r="I6" s="96"/>
      <c r="J6" s="96"/>
      <c r="K6" s="96"/>
      <c r="L6" s="96"/>
      <c r="M6" s="96"/>
      <c r="N6" s="96"/>
      <c r="O6" s="96"/>
      <c r="P6" s="96"/>
      <c r="Q6" s="96"/>
      <c r="R6" s="99"/>
      <c r="S6" s="95"/>
      <c r="T6" s="96"/>
      <c r="U6" s="97"/>
      <c r="V6" s="98"/>
      <c r="W6" s="96"/>
      <c r="X6" s="96"/>
    </row>
    <row r="7" spans="1:24" x14ac:dyDescent="0.25">
      <c r="A7" t="s">
        <v>1214</v>
      </c>
      <c r="B7" s="94" t="s">
        <v>1176</v>
      </c>
      <c r="C7" s="740" t="s">
        <v>745</v>
      </c>
      <c r="D7" s="730">
        <f>'Утверждено (МЗ,ИЦ,КАП)'!I18</f>
        <v>1043317.06</v>
      </c>
      <c r="E7" s="730">
        <f>'Утверждено (МЗ,ИЦ,КАП)'!J18</f>
        <v>656170</v>
      </c>
      <c r="F7" s="744">
        <f>'Утверждено (МЗ,ИЦ,КАП)'!K18</f>
        <v>656170</v>
      </c>
      <c r="G7" s="98"/>
      <c r="H7" s="96"/>
      <c r="I7" s="96"/>
      <c r="J7" s="96"/>
      <c r="K7" s="96"/>
      <c r="L7" s="96"/>
      <c r="M7" s="96"/>
      <c r="N7" s="96"/>
      <c r="O7" s="96"/>
      <c r="P7" s="96"/>
      <c r="Q7" s="96"/>
      <c r="R7" s="99"/>
      <c r="S7" s="95"/>
      <c r="T7" s="96"/>
      <c r="U7" s="97"/>
      <c r="V7" s="98"/>
      <c r="W7" s="96"/>
      <c r="X7" s="96"/>
    </row>
    <row r="8" spans="1:24" x14ac:dyDescent="0.25">
      <c r="A8" t="s">
        <v>1215</v>
      </c>
      <c r="B8" s="94" t="str">
        <f>'[1]Утверждено (МЗ,ИЦ,КАП)'!A102</f>
        <v>911 0702 23000 29140 611 241</v>
      </c>
      <c r="C8" s="740"/>
      <c r="D8" s="730">
        <f>'Утверждено (МЗ,ИЦ,КАП)'!F102</f>
        <v>650682</v>
      </c>
      <c r="E8" s="730">
        <f>'Утверждено (МЗ,ИЦ,КАП)'!G102</f>
        <v>330396.59000000003</v>
      </c>
      <c r="F8" s="744">
        <f>'Утверждено (МЗ,ИЦ,КАП)'!H102</f>
        <v>330396.59000000003</v>
      </c>
      <c r="G8" s="98"/>
      <c r="H8" s="96"/>
      <c r="I8" s="96"/>
      <c r="J8" s="96"/>
      <c r="K8" s="96"/>
      <c r="L8" s="96"/>
      <c r="M8" s="96"/>
      <c r="N8" s="96"/>
      <c r="O8" s="96"/>
      <c r="P8" s="96"/>
      <c r="Q8" s="96"/>
      <c r="R8" s="99"/>
      <c r="S8" s="95"/>
      <c r="T8" s="96"/>
      <c r="U8" s="97"/>
      <c r="V8" s="98"/>
      <c r="W8" s="96"/>
      <c r="X8" s="96"/>
    </row>
    <row r="9" spans="1:24" x14ac:dyDescent="0.25">
      <c r="A9" t="s">
        <v>1216</v>
      </c>
      <c r="B9" s="94" t="str">
        <f>'[1]Утверждено (МЗ,ИЦ,КАП)'!A109</f>
        <v>911 0702 21000 29140 611 241</v>
      </c>
      <c r="C9" s="740"/>
      <c r="D9" s="730">
        <f>'Утверждено (МЗ,ИЦ,КАП)'!F109</f>
        <v>17750</v>
      </c>
      <c r="E9" s="730">
        <f>'Утверждено (МЗ,ИЦ,КАП)'!G109</f>
        <v>13250</v>
      </c>
      <c r="F9" s="744">
        <f>'Утверждено (МЗ,ИЦ,КАП)'!H109</f>
        <v>13250</v>
      </c>
      <c r="G9" s="98"/>
      <c r="H9" s="96"/>
      <c r="I9" s="96"/>
      <c r="J9" s="96"/>
      <c r="K9" s="96"/>
      <c r="L9" s="96"/>
      <c r="M9" s="96"/>
      <c r="N9" s="96"/>
      <c r="O9" s="96"/>
      <c r="P9" s="96"/>
      <c r="Q9" s="96"/>
      <c r="R9" s="99"/>
      <c r="S9" s="95"/>
      <c r="T9" s="96"/>
      <c r="U9" s="97"/>
      <c r="V9" s="98"/>
      <c r="W9" s="96"/>
      <c r="X9" s="96"/>
    </row>
    <row r="10" spans="1:24" x14ac:dyDescent="0.25">
      <c r="A10" t="s">
        <v>1166</v>
      </c>
      <c r="B10" s="731" t="s">
        <v>1217</v>
      </c>
      <c r="C10" s="742"/>
      <c r="D10" s="730">
        <f>'Утверждено (МЗ,ИЦ,КАП)'!F111</f>
        <v>15506510.279999999</v>
      </c>
      <c r="E10" s="730">
        <f>'Утверждено (МЗ,ИЦ,КАП)'!G111</f>
        <v>11665600</v>
      </c>
      <c r="F10" s="744">
        <f>'Утверждено (МЗ,ИЦ,КАП)'!H111</f>
        <v>11665600</v>
      </c>
      <c r="G10" s="98"/>
      <c r="H10" s="96"/>
      <c r="I10" s="96"/>
      <c r="J10" s="96"/>
      <c r="K10" s="96"/>
      <c r="L10" s="96"/>
      <c r="M10" s="96"/>
      <c r="N10" s="96"/>
      <c r="O10" s="96"/>
      <c r="P10" s="96"/>
      <c r="Q10" s="96"/>
      <c r="R10" s="99"/>
      <c r="S10" s="95"/>
      <c r="T10" s="96"/>
      <c r="U10" s="97"/>
      <c r="V10" s="98"/>
      <c r="W10" s="96"/>
      <c r="X10" s="96"/>
    </row>
    <row r="11" spans="1:24" x14ac:dyDescent="0.25">
      <c r="A11" t="s">
        <v>1218</v>
      </c>
      <c r="B11" s="94" t="str">
        <f>'[1]Утверждено (МЗ,ИЦ,КАП)'!A115</f>
        <v>911 0702 09100 71830 611 241</v>
      </c>
      <c r="C11" s="740"/>
      <c r="D11" s="730">
        <f>'Утверждено (МЗ,ИЦ,КАП)'!F122+'Утверждено (МЗ,ИЦ,КАП)'!F130+'Утверждено (МЗ,ИЦ,КАП)'!F141+'Утверждено (МЗ,ИЦ,КАП)'!F147</f>
        <v>140</v>
      </c>
      <c r="E11" s="730">
        <f>'Утверждено (МЗ,ИЦ,КАП)'!G122+'Утверждено (МЗ,ИЦ,КАП)'!G130+'Утверждено (МЗ,ИЦ,КАП)'!G141+'Утверждено (МЗ,ИЦ,КАП)'!G147</f>
        <v>3140</v>
      </c>
      <c r="F11" s="744">
        <f>'Утверждено (МЗ,ИЦ,КАП)'!H122+'Утверждено (МЗ,ИЦ,КАП)'!H130+'Утверждено (МЗ,ИЦ,КАП)'!H141+'Утверждено (МЗ,ИЦ,КАП)'!H147</f>
        <v>3140</v>
      </c>
      <c r="G11" s="732"/>
      <c r="H11" s="172"/>
      <c r="I11" s="172"/>
      <c r="J11" s="172"/>
      <c r="K11" s="172"/>
      <c r="L11" s="172"/>
      <c r="M11" s="172"/>
      <c r="N11" s="172"/>
      <c r="O11" s="172"/>
      <c r="P11" s="172"/>
      <c r="Q11" s="172"/>
      <c r="R11" s="733"/>
      <c r="S11" s="734"/>
      <c r="T11" s="172"/>
      <c r="U11" s="735"/>
      <c r="V11" s="732"/>
      <c r="W11" s="172"/>
      <c r="X11" s="172"/>
    </row>
    <row r="12" spans="1:24" x14ac:dyDescent="0.25">
      <c r="A12" t="s">
        <v>1219</v>
      </c>
      <c r="B12" s="94" t="str">
        <f>'[1]Утверждено (МЗ,ИЦ,КАП)'!A161</f>
        <v>911 0702 091000 71830 611 241</v>
      </c>
      <c r="C12" s="740"/>
      <c r="D12" s="734">
        <v>0</v>
      </c>
      <c r="E12" s="172">
        <v>0</v>
      </c>
      <c r="F12" s="735">
        <v>0</v>
      </c>
      <c r="G12" s="732"/>
      <c r="H12" s="172"/>
      <c r="I12" s="172"/>
      <c r="J12" s="172"/>
      <c r="K12" s="172"/>
      <c r="L12" s="172"/>
      <c r="M12" s="172"/>
      <c r="N12" s="172"/>
      <c r="O12" s="172"/>
      <c r="P12" s="172"/>
      <c r="Q12" s="172"/>
      <c r="R12" s="733"/>
      <c r="S12" s="734"/>
      <c r="T12" s="172"/>
      <c r="U12" s="735"/>
      <c r="V12" s="732"/>
      <c r="W12" s="172"/>
      <c r="X12" s="172"/>
    </row>
    <row r="13" spans="1:24" x14ac:dyDescent="0.25">
      <c r="B13" s="94">
        <f>'[1]Утверждено (МЗ,ИЦ,КАП)'!A183</f>
        <v>0</v>
      </c>
      <c r="C13" s="740"/>
      <c r="D13" s="734"/>
      <c r="E13" s="172"/>
      <c r="F13" s="735"/>
      <c r="G13" s="732"/>
      <c r="H13" s="172"/>
      <c r="I13" s="172"/>
      <c r="J13" s="172"/>
      <c r="K13" s="172"/>
      <c r="L13" s="172"/>
      <c r="M13" s="172"/>
      <c r="N13" s="172"/>
      <c r="O13" s="172"/>
      <c r="P13" s="172"/>
      <c r="Q13" s="172"/>
      <c r="R13" s="733"/>
      <c r="S13" s="734"/>
      <c r="T13" s="172"/>
      <c r="U13" s="735"/>
      <c r="V13" s="732"/>
      <c r="W13" s="172"/>
      <c r="X13" s="172"/>
    </row>
    <row r="14" spans="1:24" x14ac:dyDescent="0.25">
      <c r="A14" t="s">
        <v>1220</v>
      </c>
      <c r="B14" s="736" t="s">
        <v>1221</v>
      </c>
      <c r="C14" s="743"/>
      <c r="D14" s="820"/>
      <c r="E14" s="820"/>
      <c r="F14" s="821"/>
      <c r="G14" s="732"/>
      <c r="H14" s="172"/>
      <c r="I14" s="172"/>
      <c r="J14" s="172"/>
      <c r="K14" s="172"/>
      <c r="L14" s="172"/>
      <c r="M14" s="172"/>
      <c r="N14" s="172"/>
      <c r="O14" s="172"/>
      <c r="P14" s="172"/>
      <c r="Q14" s="172"/>
      <c r="R14" s="733"/>
      <c r="S14" s="734"/>
      <c r="T14" s="172"/>
      <c r="U14" s="735"/>
      <c r="V14" s="732"/>
      <c r="W14" s="172"/>
      <c r="X14" s="172"/>
    </row>
    <row r="15" spans="1:24" x14ac:dyDescent="0.25">
      <c r="A15" t="s">
        <v>1222</v>
      </c>
      <c r="B15" s="731" t="s">
        <v>1223</v>
      </c>
      <c r="C15" s="742"/>
      <c r="D15" s="741">
        <f>'Утверждено (МЗ,ИЦ,КАП)'!F243</f>
        <v>0</v>
      </c>
      <c r="E15" s="820"/>
      <c r="F15" s="821"/>
      <c r="G15" s="732"/>
      <c r="H15" s="172"/>
      <c r="I15" s="172"/>
      <c r="J15" s="172"/>
      <c r="K15" s="172"/>
      <c r="L15" s="172"/>
      <c r="M15" s="172"/>
      <c r="N15" s="172"/>
      <c r="O15" s="172"/>
      <c r="P15" s="172"/>
      <c r="Q15" s="172"/>
      <c r="R15" s="733"/>
      <c r="S15" s="734"/>
      <c r="T15" s="172"/>
      <c r="U15" s="735"/>
      <c r="V15" s="732"/>
      <c r="W15" s="172"/>
      <c r="X15" s="172"/>
    </row>
    <row r="16" spans="1:24" x14ac:dyDescent="0.25">
      <c r="A16" t="s">
        <v>1189</v>
      </c>
      <c r="B16" s="94" t="s">
        <v>1224</v>
      </c>
      <c r="C16" s="740"/>
      <c r="D16" s="730">
        <f>Форма!F213+Форма!F224</f>
        <v>4357462.13</v>
      </c>
      <c r="E16" s="730">
        <f>Форма!G213+Форма!G224</f>
        <v>4062478</v>
      </c>
      <c r="F16" s="744">
        <f>Форма!H213+Форма!H224</f>
        <v>4062478</v>
      </c>
      <c r="G16" s="732"/>
      <c r="H16" s="172"/>
      <c r="I16" s="172"/>
      <c r="J16" s="172"/>
      <c r="K16" s="172"/>
      <c r="L16" s="172"/>
      <c r="M16" s="172"/>
      <c r="N16" s="172"/>
      <c r="O16" s="172"/>
      <c r="P16" s="172"/>
      <c r="Q16" s="172"/>
      <c r="R16" s="733"/>
      <c r="S16" s="734"/>
      <c r="T16" s="172"/>
      <c r="U16" s="735"/>
      <c r="V16" s="732"/>
      <c r="W16" s="172"/>
      <c r="X16" s="172"/>
    </row>
    <row r="17" spans="1:24" x14ac:dyDescent="0.25">
      <c r="A17" t="s">
        <v>1188</v>
      </c>
      <c r="B17" s="94"/>
      <c r="C17" s="740"/>
      <c r="D17" s="730">
        <v>0</v>
      </c>
      <c r="E17" s="730">
        <v>0</v>
      </c>
      <c r="F17" s="744">
        <v>0</v>
      </c>
      <c r="G17" s="732"/>
      <c r="H17" s="172"/>
      <c r="I17" s="172"/>
      <c r="J17" s="172"/>
      <c r="K17" s="172"/>
      <c r="L17" s="172"/>
      <c r="M17" s="172"/>
      <c r="N17" s="172"/>
      <c r="O17" s="172"/>
      <c r="P17" s="172"/>
      <c r="Q17" s="172"/>
      <c r="R17" s="733"/>
      <c r="S17" s="734"/>
      <c r="T17" s="172"/>
      <c r="U17" s="735"/>
      <c r="V17" s="732"/>
      <c r="W17" s="172"/>
      <c r="X17" s="172"/>
    </row>
    <row r="18" spans="1:24" x14ac:dyDescent="0.25">
      <c r="B18" s="94"/>
      <c r="C18" s="740"/>
      <c r="D18" s="734"/>
      <c r="E18" s="172"/>
      <c r="F18" s="735"/>
      <c r="G18" s="732"/>
      <c r="H18" s="172"/>
      <c r="I18" s="172"/>
      <c r="J18" s="172"/>
      <c r="K18" s="172"/>
      <c r="L18" s="172"/>
      <c r="M18" s="172"/>
      <c r="N18" s="172"/>
      <c r="O18" s="172"/>
      <c r="P18" s="172"/>
      <c r="Q18" s="172"/>
      <c r="R18" s="733"/>
      <c r="S18" s="734"/>
      <c r="T18" s="172"/>
      <c r="U18" s="735"/>
      <c r="V18" s="732"/>
      <c r="W18" s="172"/>
      <c r="X18" s="172"/>
    </row>
    <row r="19" spans="1:24" x14ac:dyDescent="0.25">
      <c r="B19" s="94"/>
      <c r="C19" s="740"/>
      <c r="D19" s="734"/>
      <c r="E19" s="172"/>
      <c r="F19" s="735"/>
      <c r="G19" s="732"/>
      <c r="H19" s="172"/>
      <c r="I19" s="172"/>
      <c r="J19" s="172"/>
      <c r="K19" s="172"/>
      <c r="L19" s="172"/>
      <c r="M19" s="172"/>
      <c r="N19" s="172"/>
      <c r="O19" s="172"/>
      <c r="P19" s="172"/>
      <c r="Q19" s="172"/>
      <c r="R19" s="733"/>
      <c r="S19" s="734"/>
      <c r="T19" s="172"/>
      <c r="U19" s="735"/>
      <c r="V19" s="732"/>
      <c r="W19" s="172"/>
      <c r="X19" s="172"/>
    </row>
    <row r="20" spans="1:24" x14ac:dyDescent="0.25">
      <c r="B20" s="94"/>
      <c r="C20" s="740"/>
      <c r="D20" s="734"/>
      <c r="E20" s="172"/>
      <c r="F20" s="735"/>
      <c r="G20" s="732"/>
      <c r="H20" s="172"/>
      <c r="I20" s="172"/>
      <c r="J20" s="172"/>
      <c r="K20" s="172"/>
      <c r="L20" s="172"/>
      <c r="M20" s="172"/>
      <c r="N20" s="172"/>
      <c r="O20" s="172"/>
      <c r="P20" s="172"/>
      <c r="Q20" s="172"/>
      <c r="R20" s="733"/>
      <c r="S20" s="734"/>
      <c r="T20" s="172"/>
      <c r="U20" s="735"/>
      <c r="V20" s="732"/>
      <c r="W20" s="172"/>
      <c r="X20" s="172"/>
    </row>
    <row r="21" spans="1:24" x14ac:dyDescent="0.25">
      <c r="B21" s="94"/>
      <c r="C21" s="740"/>
      <c r="D21" s="734"/>
      <c r="E21" s="172"/>
      <c r="F21" s="735"/>
      <c r="G21" s="732"/>
      <c r="H21" s="172"/>
      <c r="I21" s="172"/>
      <c r="J21" s="172"/>
      <c r="K21" s="172"/>
      <c r="L21" s="172"/>
      <c r="M21" s="172"/>
      <c r="N21" s="172"/>
      <c r="O21" s="172"/>
      <c r="P21" s="172"/>
      <c r="Q21" s="172"/>
      <c r="R21" s="733"/>
      <c r="S21" s="734"/>
      <c r="T21" s="172"/>
      <c r="U21" s="735"/>
      <c r="V21" s="732"/>
      <c r="W21" s="172"/>
      <c r="X21" s="172"/>
    </row>
    <row r="22" spans="1:24" x14ac:dyDescent="0.25">
      <c r="B22" s="94"/>
      <c r="C22" s="740"/>
      <c r="D22" s="734"/>
      <c r="E22" s="172"/>
      <c r="F22" s="735"/>
      <c r="G22" s="732"/>
      <c r="H22" s="172"/>
      <c r="I22" s="172"/>
      <c r="J22" s="172"/>
      <c r="K22" s="172"/>
      <c r="L22" s="172"/>
      <c r="M22" s="172"/>
      <c r="N22" s="172"/>
      <c r="O22" s="172"/>
      <c r="P22" s="172"/>
      <c r="Q22" s="172"/>
      <c r="R22" s="733"/>
      <c r="S22" s="734"/>
      <c r="T22" s="172"/>
      <c r="U22" s="735"/>
      <c r="V22" s="732"/>
      <c r="W22" s="172"/>
      <c r="X22" s="172"/>
    </row>
    <row r="23" spans="1:24" x14ac:dyDescent="0.25">
      <c r="B23" s="94"/>
      <c r="C23" s="740"/>
      <c r="D23" s="734"/>
      <c r="E23" s="172"/>
      <c r="F23" s="735"/>
      <c r="G23" s="732"/>
      <c r="H23" s="172"/>
      <c r="I23" s="172"/>
      <c r="J23" s="172"/>
      <c r="K23" s="172"/>
      <c r="L23" s="172"/>
      <c r="M23" s="172"/>
      <c r="N23" s="172"/>
      <c r="O23" s="172"/>
      <c r="P23" s="172"/>
      <c r="Q23" s="172"/>
      <c r="R23" s="733"/>
      <c r="S23" s="734"/>
      <c r="T23" s="172"/>
      <c r="U23" s="735"/>
      <c r="V23" s="732"/>
      <c r="W23" s="172"/>
      <c r="X23" s="172"/>
    </row>
    <row r="24" spans="1:24" ht="14.4" thickBot="1" x14ac:dyDescent="0.3">
      <c r="B24" s="100"/>
      <c r="C24" s="100"/>
      <c r="D24" s="737"/>
      <c r="E24" s="738"/>
      <c r="F24" s="739"/>
      <c r="G24" s="732"/>
      <c r="H24" s="172"/>
      <c r="I24" s="172"/>
      <c r="J24" s="172"/>
      <c r="K24" s="172"/>
      <c r="L24" s="172"/>
      <c r="M24" s="172"/>
      <c r="N24" s="172"/>
      <c r="O24" s="172"/>
      <c r="P24" s="172"/>
      <c r="Q24" s="172"/>
      <c r="R24" s="733"/>
      <c r="S24" s="737"/>
      <c r="T24" s="738"/>
      <c r="U24" s="739"/>
      <c r="V24" s="732"/>
      <c r="W24" s="172"/>
      <c r="X24" s="172"/>
    </row>
    <row r="25" spans="1:24" x14ac:dyDescent="0.25">
      <c r="B25" s="101" t="s">
        <v>364</v>
      </c>
      <c r="C25" s="101"/>
      <c r="D25" s="102">
        <f>Форма!F255</f>
        <v>7071850.6900000004</v>
      </c>
      <c r="E25" s="102">
        <f>Форма!G255</f>
        <v>5601996.8600000003</v>
      </c>
      <c r="F25" s="102">
        <f>Форма!H255</f>
        <v>5601996.8600000003</v>
      </c>
      <c r="G25" s="822"/>
      <c r="H25" s="822"/>
      <c r="I25" s="822"/>
      <c r="J25" s="822"/>
      <c r="K25" s="822"/>
      <c r="L25" s="822"/>
      <c r="M25" s="822"/>
      <c r="N25" s="822"/>
      <c r="O25" s="822"/>
      <c r="P25" s="822"/>
      <c r="Q25" s="822"/>
      <c r="R25" s="822"/>
      <c r="S25" s="822"/>
      <c r="T25" s="822"/>
      <c r="U25" s="822"/>
      <c r="V25" s="822"/>
      <c r="W25" s="822"/>
      <c r="X25" s="822"/>
    </row>
    <row r="26" spans="1:24" x14ac:dyDescent="0.25">
      <c r="B26" t="s">
        <v>365</v>
      </c>
      <c r="D26" s="103">
        <f t="shared" ref="D26:X26" si="3">D25-D5</f>
        <v>-15358843.869999999</v>
      </c>
      <c r="E26" s="103">
        <f t="shared" si="3"/>
        <v>-11592340</v>
      </c>
      <c r="F26" s="103">
        <f t="shared" si="3"/>
        <v>-11592340</v>
      </c>
      <c r="G26" s="103">
        <f t="shared" si="3"/>
        <v>0</v>
      </c>
      <c r="H26" s="103">
        <f t="shared" si="3"/>
        <v>0</v>
      </c>
      <c r="I26" s="103">
        <f t="shared" si="3"/>
        <v>0</v>
      </c>
      <c r="J26" s="103">
        <f t="shared" si="3"/>
        <v>0</v>
      </c>
      <c r="K26" s="103">
        <f t="shared" si="3"/>
        <v>0</v>
      </c>
      <c r="L26" s="103">
        <f t="shared" si="3"/>
        <v>0</v>
      </c>
      <c r="M26" s="103">
        <f t="shared" si="3"/>
        <v>0</v>
      </c>
      <c r="N26" s="103">
        <f t="shared" si="3"/>
        <v>0</v>
      </c>
      <c r="O26" s="103">
        <f t="shared" si="3"/>
        <v>0</v>
      </c>
      <c r="P26" s="103">
        <f t="shared" si="3"/>
        <v>0</v>
      </c>
      <c r="Q26" s="103">
        <f t="shared" si="3"/>
        <v>0</v>
      </c>
      <c r="R26" s="103">
        <f t="shared" si="3"/>
        <v>0</v>
      </c>
      <c r="S26" s="103">
        <f t="shared" si="3"/>
        <v>0</v>
      </c>
      <c r="T26" s="103">
        <f t="shared" si="3"/>
        <v>0</v>
      </c>
      <c r="U26" s="103">
        <f t="shared" si="3"/>
        <v>0</v>
      </c>
      <c r="V26" s="103">
        <f t="shared" si="3"/>
        <v>0</v>
      </c>
      <c r="W26" s="103">
        <f t="shared" si="3"/>
        <v>0</v>
      </c>
      <c r="X26" s="103">
        <f t="shared" si="3"/>
        <v>0</v>
      </c>
    </row>
  </sheetData>
  <mergeCells count="14">
    <mergeCell ref="M3:O3"/>
    <mergeCell ref="S3:U3"/>
    <mergeCell ref="V3:X3"/>
    <mergeCell ref="C3:C5"/>
    <mergeCell ref="B1:C2"/>
    <mergeCell ref="D1:F3"/>
    <mergeCell ref="G1:O1"/>
    <mergeCell ref="P1:X1"/>
    <mergeCell ref="G2:I3"/>
    <mergeCell ref="J2:O2"/>
    <mergeCell ref="P2:R3"/>
    <mergeCell ref="S2:X2"/>
    <mergeCell ref="B3:B5"/>
    <mergeCell ref="J3:L3"/>
  </mergeCells>
  <pageMargins left="0" right="0" top="0" bottom="0" header="0" footer="0"/>
  <pageSetup paperSize="9" scale="46"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52"/>
  <sheetViews>
    <sheetView topLeftCell="A19" workbookViewId="0">
      <selection activeCell="D29" sqref="D29"/>
    </sheetView>
  </sheetViews>
  <sheetFormatPr defaultRowHeight="13.8" x14ac:dyDescent="0.25"/>
  <cols>
    <col min="1" max="1" width="26.109375" customWidth="1"/>
    <col min="2" max="6" width="12.6640625" customWidth="1"/>
    <col min="7" max="7" width="13.33203125" customWidth="1"/>
    <col min="8" max="8" width="14.6640625" customWidth="1"/>
    <col min="9" max="9" width="14.33203125" customWidth="1"/>
    <col min="14" max="14" width="9.5546875" bestFit="1" customWidth="1"/>
  </cols>
  <sheetData>
    <row r="1" spans="1:14" s="28" customFormat="1" x14ac:dyDescent="0.25">
      <c r="A1" s="718"/>
      <c r="B1">
        <v>402</v>
      </c>
      <c r="C1">
        <v>4022</v>
      </c>
      <c r="D1">
        <v>4023</v>
      </c>
      <c r="E1">
        <v>4024</v>
      </c>
      <c r="F1">
        <v>401</v>
      </c>
      <c r="G1" s="719"/>
      <c r="H1" s="719"/>
      <c r="I1" s="719"/>
    </row>
    <row r="2" spans="1:14" ht="28.5" customHeight="1" x14ac:dyDescent="0.25">
      <c r="A2" s="718" t="s">
        <v>1203</v>
      </c>
      <c r="B2" s="955" t="s">
        <v>1204</v>
      </c>
      <c r="C2" s="956"/>
      <c r="D2" s="956"/>
      <c r="E2" s="720"/>
      <c r="F2" t="s">
        <v>1205</v>
      </c>
      <c r="H2" t="s">
        <v>1205</v>
      </c>
    </row>
    <row r="3" spans="1:14" s="707" customFormat="1" ht="33" customHeight="1" x14ac:dyDescent="0.25">
      <c r="A3" s="704"/>
      <c r="B3" s="705" t="s">
        <v>1184</v>
      </c>
      <c r="C3" s="705" t="s">
        <v>1185</v>
      </c>
      <c r="D3" s="705" t="s">
        <v>1186</v>
      </c>
      <c r="E3" s="705" t="s">
        <v>1166</v>
      </c>
      <c r="F3" s="705" t="s">
        <v>1187</v>
      </c>
      <c r="G3" s="706" t="s">
        <v>1188</v>
      </c>
      <c r="H3" s="706" t="s">
        <v>1189</v>
      </c>
      <c r="I3" s="706" t="s">
        <v>1190</v>
      </c>
    </row>
    <row r="4" spans="1:14" ht="30" customHeight="1" x14ac:dyDescent="0.3">
      <c r="A4" s="708" t="s">
        <v>1191</v>
      </c>
      <c r="B4" s="721">
        <f>210830.72</f>
        <v>210830.72</v>
      </c>
      <c r="C4" s="722"/>
      <c r="D4" s="722"/>
      <c r="E4" s="722"/>
      <c r="F4" s="722"/>
      <c r="G4" s="722"/>
      <c r="H4" s="722"/>
      <c r="I4" s="709">
        <f t="shared" ref="I4:I13" si="0">SUM(B4:H4)</f>
        <v>210830.72</v>
      </c>
    </row>
    <row r="5" spans="1:14" ht="30" customHeight="1" x14ac:dyDescent="0.3">
      <c r="A5" s="708" t="s">
        <v>1207</v>
      </c>
      <c r="B5" s="721">
        <f>34014.88+28764.9</f>
        <v>62779.78</v>
      </c>
      <c r="C5" s="709"/>
      <c r="D5" s="721"/>
      <c r="E5" s="721">
        <f>9600+4800</f>
        <v>14400</v>
      </c>
      <c r="F5" s="709"/>
      <c r="G5" s="709"/>
      <c r="H5" s="709">
        <v>3106.32</v>
      </c>
      <c r="I5" s="709">
        <f t="shared" si="0"/>
        <v>80286.100000000006</v>
      </c>
    </row>
    <row r="6" spans="1:14" x14ac:dyDescent="0.25">
      <c r="A6" s="711" t="s">
        <v>1208</v>
      </c>
      <c r="B6" s="712">
        <f>B7+B8+B9+B10+B11+B12+B13</f>
        <v>45811.18</v>
      </c>
      <c r="C6" s="712">
        <f t="shared" ref="C6:H6" si="1">C7+C8+C9+C11+C12+C13</f>
        <v>1250</v>
      </c>
      <c r="D6" s="712">
        <f t="shared" si="1"/>
        <v>50719.5</v>
      </c>
      <c r="E6" s="712">
        <f t="shared" si="1"/>
        <v>2500</v>
      </c>
      <c r="F6" s="712">
        <f t="shared" si="1"/>
        <v>1920</v>
      </c>
      <c r="G6" s="712">
        <f t="shared" si="1"/>
        <v>0</v>
      </c>
      <c r="H6" s="712">
        <f t="shared" si="1"/>
        <v>1507.39</v>
      </c>
      <c r="I6" s="712">
        <f t="shared" si="0"/>
        <v>103708.07</v>
      </c>
    </row>
    <row r="7" spans="1:14" x14ac:dyDescent="0.25">
      <c r="A7" s="172" t="s">
        <v>1192</v>
      </c>
      <c r="B7" s="22">
        <f>2144.05+1000</f>
        <v>3144.05</v>
      </c>
      <c r="C7" s="22"/>
      <c r="D7" s="22"/>
      <c r="E7" s="22"/>
      <c r="F7" s="22"/>
      <c r="G7" s="22"/>
      <c r="H7" s="96">
        <f>1140+67.39</f>
        <v>1207.3900000000001</v>
      </c>
      <c r="I7" s="713">
        <f t="shared" si="0"/>
        <v>4351.4399999999996</v>
      </c>
    </row>
    <row r="8" spans="1:14" x14ac:dyDescent="0.25">
      <c r="A8" s="172" t="s">
        <v>1193</v>
      </c>
      <c r="B8" s="22"/>
      <c r="C8" s="22"/>
      <c r="D8" s="22"/>
      <c r="E8" s="22"/>
      <c r="F8" s="22"/>
      <c r="G8" s="22"/>
      <c r="H8" s="96"/>
      <c r="I8" s="713">
        <f t="shared" si="0"/>
        <v>0</v>
      </c>
    </row>
    <row r="9" spans="1:14" x14ac:dyDescent="0.25">
      <c r="A9" s="172" t="s">
        <v>1209</v>
      </c>
      <c r="B9" s="22"/>
      <c r="C9" s="22"/>
      <c r="D9" s="22"/>
      <c r="E9" s="22"/>
      <c r="F9" s="22"/>
      <c r="G9" s="22"/>
      <c r="H9" s="96"/>
      <c r="I9" s="713">
        <f t="shared" si="0"/>
        <v>0</v>
      </c>
      <c r="N9" s="589"/>
    </row>
    <row r="10" spans="1:14" x14ac:dyDescent="0.25">
      <c r="A10" s="172" t="s">
        <v>1210</v>
      </c>
      <c r="B10" s="22">
        <v>31986.65</v>
      </c>
      <c r="C10" s="22"/>
      <c r="D10" s="22"/>
      <c r="E10" s="22"/>
      <c r="F10" s="22"/>
      <c r="G10" s="22"/>
      <c r="H10" s="96"/>
      <c r="I10" s="713">
        <f t="shared" si="0"/>
        <v>31986.65</v>
      </c>
      <c r="N10" s="589"/>
    </row>
    <row r="11" spans="1:14" x14ac:dyDescent="0.25">
      <c r="A11" s="172" t="s">
        <v>1195</v>
      </c>
      <c r="B11" s="22"/>
      <c r="C11" s="22"/>
      <c r="D11" s="22"/>
      <c r="E11" s="22"/>
      <c r="F11" s="22"/>
      <c r="G11" s="22"/>
      <c r="H11" s="96"/>
      <c r="I11" s="713">
        <f t="shared" si="0"/>
        <v>0</v>
      </c>
    </row>
    <row r="12" spans="1:14" x14ac:dyDescent="0.25">
      <c r="A12" s="172" t="s">
        <v>1196</v>
      </c>
      <c r="B12" s="723">
        <f>2884.2+590.4+4794.15+930.73+1481</f>
        <v>10680.48</v>
      </c>
      <c r="C12" s="22">
        <v>1250</v>
      </c>
      <c r="D12" s="22">
        <f>1500+336</f>
        <v>1836</v>
      </c>
      <c r="E12" s="22">
        <v>900</v>
      </c>
      <c r="F12" s="22"/>
      <c r="G12" s="22"/>
      <c r="H12" s="96">
        <f>300</f>
        <v>300</v>
      </c>
      <c r="I12" s="713">
        <f t="shared" si="0"/>
        <v>14966.48</v>
      </c>
    </row>
    <row r="13" spans="1:14" x14ac:dyDescent="0.25">
      <c r="A13" s="172" t="s">
        <v>1197</v>
      </c>
      <c r="B13" s="22"/>
      <c r="C13" s="22"/>
      <c r="D13" s="22">
        <f>45360+3523.5</f>
        <v>48883.5</v>
      </c>
      <c r="E13" s="22">
        <v>1600</v>
      </c>
      <c r="F13" s="827">
        <v>1920</v>
      </c>
      <c r="G13" s="22"/>
      <c r="H13" s="96"/>
      <c r="I13" s="713">
        <f t="shared" si="0"/>
        <v>52403.5</v>
      </c>
    </row>
    <row r="14" spans="1:14" s="28" customFormat="1" x14ac:dyDescent="0.25">
      <c r="A14" s="714" t="s">
        <v>1198</v>
      </c>
      <c r="B14" s="715">
        <f t="shared" ref="B14:G14" si="2">+B6+B5</f>
        <v>108590.96</v>
      </c>
      <c r="C14" s="715">
        <f t="shared" si="2"/>
        <v>1250</v>
      </c>
      <c r="D14" s="715">
        <f t="shared" si="2"/>
        <v>50719.5</v>
      </c>
      <c r="E14" s="715">
        <f t="shared" si="2"/>
        <v>16900</v>
      </c>
      <c r="F14" s="715">
        <f t="shared" si="2"/>
        <v>1920</v>
      </c>
      <c r="G14" s="715">
        <f t="shared" si="2"/>
        <v>0</v>
      </c>
      <c r="H14" s="715">
        <f>+H6+H5</f>
        <v>4613.71</v>
      </c>
      <c r="I14" s="715">
        <f>+I6+I5</f>
        <v>183994.17</v>
      </c>
    </row>
    <row r="15" spans="1:14" s="28" customFormat="1" x14ac:dyDescent="0.25">
      <c r="A15" s="714" t="s">
        <v>1199</v>
      </c>
      <c r="B15" s="715">
        <f>SUM(B16:B18)</f>
        <v>308336.40000000002</v>
      </c>
      <c r="C15" s="715">
        <f t="shared" ref="C15:H15" si="3">SUM(C16:C18)</f>
        <v>0</v>
      </c>
      <c r="D15" s="715">
        <f t="shared" si="3"/>
        <v>0</v>
      </c>
      <c r="E15" s="715">
        <f t="shared" si="3"/>
        <v>0</v>
      </c>
      <c r="F15" s="715">
        <f>SUM(F16:F18)</f>
        <v>0</v>
      </c>
      <c r="G15" s="715">
        <f t="shared" si="3"/>
        <v>0</v>
      </c>
      <c r="H15" s="715">
        <f t="shared" si="3"/>
        <v>3315088.28</v>
      </c>
      <c r="I15" s="715">
        <f>SUM(B15:H15)</f>
        <v>3623424.68</v>
      </c>
    </row>
    <row r="16" spans="1:14" s="28" customFormat="1" x14ac:dyDescent="0.25">
      <c r="A16" s="717" t="s">
        <v>1200</v>
      </c>
      <c r="B16" s="716">
        <v>308336.40000000002</v>
      </c>
      <c r="C16" s="716"/>
      <c r="D16" s="716"/>
      <c r="E16" s="716"/>
      <c r="F16" s="716"/>
      <c r="G16" s="724"/>
      <c r="H16" s="716">
        <f>3130675+7200+70000+1003.27+106210.01</f>
        <v>3315088.28</v>
      </c>
      <c r="I16" s="713">
        <f>SUM(B16:H16)</f>
        <v>3623424.68</v>
      </c>
    </row>
    <row r="17" spans="1:10" s="28" customFormat="1" x14ac:dyDescent="0.25">
      <c r="A17" s="717" t="s">
        <v>1201</v>
      </c>
      <c r="B17" s="716"/>
      <c r="C17" s="716"/>
      <c r="D17" s="716"/>
      <c r="E17" s="716"/>
      <c r="F17" s="716"/>
      <c r="G17" s="716"/>
      <c r="H17" s="716"/>
      <c r="I17" s="713">
        <f>SUM(B17:H17)</f>
        <v>0</v>
      </c>
    </row>
    <row r="18" spans="1:10" s="28" customFormat="1" x14ac:dyDescent="0.25">
      <c r="A18" s="717" t="s">
        <v>1202</v>
      </c>
      <c r="B18" s="716"/>
      <c r="C18" s="716"/>
      <c r="D18" s="716"/>
      <c r="E18" s="716"/>
      <c r="F18" s="716"/>
      <c r="G18" s="716"/>
      <c r="H18" s="716"/>
      <c r="I18" s="713">
        <f>SUM(B18:H18)</f>
        <v>0</v>
      </c>
    </row>
    <row r="21" spans="1:10" ht="28.5" customHeight="1" x14ac:dyDescent="0.25">
      <c r="A21" s="718" t="s">
        <v>1211</v>
      </c>
      <c r="B21" s="955" t="s">
        <v>1204</v>
      </c>
      <c r="C21" s="956"/>
      <c r="D21" s="956"/>
      <c r="E21" s="720"/>
      <c r="F21" t="s">
        <v>1205</v>
      </c>
      <c r="H21" t="s">
        <v>1205</v>
      </c>
    </row>
    <row r="22" spans="1:10" s="707" customFormat="1" ht="33" customHeight="1" x14ac:dyDescent="0.25">
      <c r="A22" s="704"/>
      <c r="B22" s="705" t="s">
        <v>1184</v>
      </c>
      <c r="C22" s="705" t="s">
        <v>1185</v>
      </c>
      <c r="D22" s="705" t="s">
        <v>1186</v>
      </c>
      <c r="E22" s="705" t="s">
        <v>1166</v>
      </c>
      <c r="F22" s="705" t="s">
        <v>1187</v>
      </c>
      <c r="G22" s="706" t="s">
        <v>1188</v>
      </c>
      <c r="H22" s="706" t="s">
        <v>1189</v>
      </c>
      <c r="I22" s="706" t="s">
        <v>1190</v>
      </c>
    </row>
    <row r="23" spans="1:10" ht="30" customHeight="1" x14ac:dyDescent="0.3">
      <c r="A23" s="708" t="s">
        <v>1280</v>
      </c>
      <c r="B23" s="709">
        <v>21215.7</v>
      </c>
      <c r="C23" s="722"/>
      <c r="D23" s="722"/>
      <c r="E23" s="722"/>
      <c r="F23" s="722"/>
      <c r="G23" s="722"/>
      <c r="H23" s="722">
        <v>6180.24</v>
      </c>
      <c r="I23" s="710">
        <f t="shared" ref="I23:I30" si="4">SUM(B23:H23)</f>
        <v>27395.94</v>
      </c>
      <c r="J23" t="s">
        <v>1206</v>
      </c>
    </row>
    <row r="24" spans="1:10" x14ac:dyDescent="0.25">
      <c r="A24" s="711" t="s">
        <v>1212</v>
      </c>
      <c r="B24" s="712">
        <f>B25+B26+B27+B28+B29+B30</f>
        <v>5896.87</v>
      </c>
      <c r="C24" s="712">
        <f t="shared" ref="C24:H24" si="5">C25+C26+C27+C28+C29+C30</f>
        <v>0</v>
      </c>
      <c r="D24" s="712">
        <f t="shared" si="5"/>
        <v>58279.5</v>
      </c>
      <c r="E24" s="712">
        <f t="shared" si="5"/>
        <v>2800</v>
      </c>
      <c r="F24" s="712">
        <f t="shared" si="5"/>
        <v>0</v>
      </c>
      <c r="G24" s="712">
        <f t="shared" si="5"/>
        <v>0</v>
      </c>
      <c r="H24" s="712">
        <f t="shared" si="5"/>
        <v>0</v>
      </c>
      <c r="I24" s="712">
        <f t="shared" si="4"/>
        <v>66976.37</v>
      </c>
    </row>
    <row r="25" spans="1:10" x14ac:dyDescent="0.25">
      <c r="A25" s="172" t="s">
        <v>1192</v>
      </c>
      <c r="B25" s="96"/>
      <c r="C25" s="96"/>
      <c r="D25" s="96"/>
      <c r="E25" s="96"/>
      <c r="F25" s="96"/>
      <c r="G25" s="96"/>
      <c r="H25" s="96"/>
      <c r="I25" s="713">
        <f t="shared" si="4"/>
        <v>0</v>
      </c>
    </row>
    <row r="26" spans="1:10" x14ac:dyDescent="0.25">
      <c r="A26" s="172" t="s">
        <v>1193</v>
      </c>
      <c r="B26" s="96"/>
      <c r="C26" s="96"/>
      <c r="D26" s="96"/>
      <c r="E26" s="96"/>
      <c r="F26" s="96"/>
      <c r="G26" s="96"/>
      <c r="H26" s="96"/>
      <c r="I26" s="713">
        <f t="shared" si="4"/>
        <v>0</v>
      </c>
    </row>
    <row r="27" spans="1:10" x14ac:dyDescent="0.25">
      <c r="A27" s="172" t="s">
        <v>1194</v>
      </c>
      <c r="B27" s="96"/>
      <c r="C27" s="96"/>
      <c r="D27" s="96"/>
      <c r="E27" s="96"/>
      <c r="F27" s="96"/>
      <c r="G27" s="96"/>
      <c r="H27" s="96"/>
      <c r="I27" s="713">
        <f t="shared" si="4"/>
        <v>0</v>
      </c>
    </row>
    <row r="28" spans="1:10" x14ac:dyDescent="0.25">
      <c r="A28" s="172" t="s">
        <v>1195</v>
      </c>
      <c r="B28" s="96"/>
      <c r="C28" s="96"/>
      <c r="D28" s="96"/>
      <c r="E28" s="96"/>
      <c r="F28" s="96"/>
      <c r="G28" s="96"/>
      <c r="H28" s="96"/>
      <c r="I28" s="713">
        <f t="shared" si="4"/>
        <v>0</v>
      </c>
    </row>
    <row r="29" spans="1:10" x14ac:dyDescent="0.25">
      <c r="A29" s="172" t="s">
        <v>1196</v>
      </c>
      <c r="B29" s="845">
        <f>4214.76+751.38+930.73</f>
        <v>5896.87</v>
      </c>
      <c r="C29" s="96"/>
      <c r="D29" s="845">
        <f>336+1500</f>
        <v>1836</v>
      </c>
      <c r="E29" s="845">
        <v>1200</v>
      </c>
      <c r="F29" s="96"/>
      <c r="G29" s="96"/>
      <c r="H29" s="96"/>
      <c r="I29" s="713">
        <f t="shared" si="4"/>
        <v>8932.8700000000008</v>
      </c>
    </row>
    <row r="30" spans="1:10" x14ac:dyDescent="0.25">
      <c r="A30" s="172" t="s">
        <v>1197</v>
      </c>
      <c r="B30" s="96"/>
      <c r="C30" s="96"/>
      <c r="D30" s="845">
        <f>52920+3523.5</f>
        <v>56443.5</v>
      </c>
      <c r="E30" s="845">
        <v>1600</v>
      </c>
      <c r="F30" s="96"/>
      <c r="G30" s="96"/>
      <c r="H30" s="96"/>
      <c r="I30" s="713">
        <f t="shared" si="4"/>
        <v>58043.5</v>
      </c>
    </row>
    <row r="31" spans="1:10" s="28" customFormat="1" x14ac:dyDescent="0.25">
      <c r="A31" s="714" t="s">
        <v>1198</v>
      </c>
      <c r="B31" s="715">
        <f>+B24+B23</f>
        <v>27112.57</v>
      </c>
      <c r="C31" s="715">
        <f t="shared" ref="C31:H31" si="6">+C24+C23</f>
        <v>0</v>
      </c>
      <c r="D31" s="715">
        <f t="shared" si="6"/>
        <v>58279.5</v>
      </c>
      <c r="E31" s="715">
        <f t="shared" si="6"/>
        <v>2800</v>
      </c>
      <c r="F31" s="715">
        <f t="shared" si="6"/>
        <v>0</v>
      </c>
      <c r="G31" s="715">
        <f t="shared" si="6"/>
        <v>0</v>
      </c>
      <c r="H31" s="715">
        <f t="shared" si="6"/>
        <v>6180.24</v>
      </c>
      <c r="I31" s="715">
        <f>+I24+I23</f>
        <v>94372.31</v>
      </c>
    </row>
    <row r="32" spans="1:10" s="28" customFormat="1" x14ac:dyDescent="0.25">
      <c r="A32" s="714" t="s">
        <v>1199</v>
      </c>
      <c r="B32" s="715">
        <f>SUM(B33:B35)</f>
        <v>308336.40000000002</v>
      </c>
      <c r="C32" s="715">
        <f t="shared" ref="C32:H32" si="7">SUM(C33:C35)</f>
        <v>0</v>
      </c>
      <c r="D32" s="715">
        <f t="shared" si="7"/>
        <v>0</v>
      </c>
      <c r="E32" s="715">
        <f t="shared" si="7"/>
        <v>0</v>
      </c>
      <c r="F32" s="715">
        <f t="shared" si="7"/>
        <v>0</v>
      </c>
      <c r="G32" s="715">
        <f t="shared" si="7"/>
        <v>0</v>
      </c>
      <c r="H32" s="715">
        <f t="shared" si="7"/>
        <v>3207875</v>
      </c>
      <c r="I32" s="715">
        <f>SUM(B32:H32)</f>
        <v>3516211.4</v>
      </c>
    </row>
    <row r="33" spans="1:10" s="28" customFormat="1" x14ac:dyDescent="0.25">
      <c r="A33" s="717" t="s">
        <v>1200</v>
      </c>
      <c r="B33" s="716">
        <v>308336.40000000002</v>
      </c>
      <c r="C33" s="716"/>
      <c r="D33" s="716"/>
      <c r="E33" s="716"/>
      <c r="F33" s="716"/>
      <c r="G33" s="724"/>
      <c r="H33" s="716">
        <f>3130675+7200+70000</f>
        <v>3207875</v>
      </c>
      <c r="I33" s="713">
        <f>SUM(B33:H33)</f>
        <v>3516211.4</v>
      </c>
    </row>
    <row r="34" spans="1:10" s="28" customFormat="1" x14ac:dyDescent="0.25">
      <c r="A34" s="717" t="s">
        <v>1201</v>
      </c>
      <c r="B34" s="716"/>
      <c r="C34" s="716"/>
      <c r="D34" s="716"/>
      <c r="E34" s="716"/>
      <c r="F34" s="716"/>
      <c r="G34" s="716"/>
      <c r="H34" s="716"/>
      <c r="I34" s="713">
        <f>SUM(B34:H34)</f>
        <v>0</v>
      </c>
    </row>
    <row r="35" spans="1:10" s="28" customFormat="1" x14ac:dyDescent="0.25">
      <c r="A35" s="717" t="s">
        <v>1202</v>
      </c>
      <c r="B35" s="716"/>
      <c r="C35" s="716"/>
      <c r="D35" s="716"/>
      <c r="E35" s="716"/>
      <c r="F35" s="716"/>
      <c r="G35" s="716"/>
      <c r="H35" s="716"/>
      <c r="I35" s="713">
        <f>SUM(B35:H35)</f>
        <v>0</v>
      </c>
    </row>
    <row r="38" spans="1:10" x14ac:dyDescent="0.25">
      <c r="A38" s="718" t="s">
        <v>1266</v>
      </c>
      <c r="B38" s="955" t="s">
        <v>1204</v>
      </c>
      <c r="C38" s="956"/>
      <c r="D38" s="956"/>
      <c r="E38" s="720"/>
      <c r="F38" t="s">
        <v>1205</v>
      </c>
      <c r="H38" t="s">
        <v>1205</v>
      </c>
    </row>
    <row r="39" spans="1:10" ht="27.6" x14ac:dyDescent="0.25">
      <c r="A39" s="704"/>
      <c r="B39" s="705" t="s">
        <v>1184</v>
      </c>
      <c r="C39" s="705" t="s">
        <v>1185</v>
      </c>
      <c r="D39" s="705" t="s">
        <v>1186</v>
      </c>
      <c r="E39" s="705" t="s">
        <v>1166</v>
      </c>
      <c r="F39" s="705" t="s">
        <v>1187</v>
      </c>
      <c r="G39" s="706" t="s">
        <v>1188</v>
      </c>
      <c r="H39" s="706" t="s">
        <v>1189</v>
      </c>
      <c r="I39" s="706" t="s">
        <v>1190</v>
      </c>
      <c r="J39" s="707"/>
    </row>
    <row r="40" spans="1:10" ht="28.8" x14ac:dyDescent="0.3">
      <c r="A40" s="708" t="s">
        <v>1191</v>
      </c>
      <c r="B40" s="709">
        <v>0</v>
      </c>
      <c r="C40" s="722"/>
      <c r="D40" s="722"/>
      <c r="E40" s="722"/>
      <c r="F40" s="722"/>
      <c r="G40" s="722"/>
      <c r="H40" s="722"/>
      <c r="I40" s="710">
        <f t="shared" ref="I40:I47" si="8">SUM(B40:H40)</f>
        <v>0</v>
      </c>
      <c r="J40" t="s">
        <v>1206</v>
      </c>
    </row>
    <row r="41" spans="1:10" x14ac:dyDescent="0.25">
      <c r="A41" s="711" t="s">
        <v>1267</v>
      </c>
      <c r="B41" s="712">
        <f>B42+B43+B44+B45+B46+B47</f>
        <v>0</v>
      </c>
      <c r="C41" s="712">
        <f t="shared" ref="C41:H41" si="9">C42+C43+C44+C45+C46+C47</f>
        <v>0</v>
      </c>
      <c r="D41" s="712">
        <f t="shared" si="9"/>
        <v>0</v>
      </c>
      <c r="E41" s="712">
        <f t="shared" si="9"/>
        <v>0</v>
      </c>
      <c r="F41" s="712">
        <f t="shared" si="9"/>
        <v>0</v>
      </c>
      <c r="G41" s="712">
        <f t="shared" si="9"/>
        <v>0</v>
      </c>
      <c r="H41" s="712">
        <f t="shared" si="9"/>
        <v>0</v>
      </c>
      <c r="I41" s="712">
        <f t="shared" si="8"/>
        <v>0</v>
      </c>
    </row>
    <row r="42" spans="1:10" x14ac:dyDescent="0.25">
      <c r="A42" s="172" t="s">
        <v>1192</v>
      </c>
      <c r="B42" s="96"/>
      <c r="C42" s="96"/>
      <c r="D42" s="96"/>
      <c r="E42" s="96"/>
      <c r="F42" s="96"/>
      <c r="G42" s="96"/>
      <c r="H42" s="96"/>
      <c r="I42" s="713">
        <f t="shared" si="8"/>
        <v>0</v>
      </c>
    </row>
    <row r="43" spans="1:10" x14ac:dyDescent="0.25">
      <c r="A43" s="172" t="s">
        <v>1193</v>
      </c>
      <c r="B43" s="96"/>
      <c r="C43" s="96"/>
      <c r="D43" s="96"/>
      <c r="E43" s="96"/>
      <c r="F43" s="96"/>
      <c r="G43" s="96"/>
      <c r="H43" s="96"/>
      <c r="I43" s="713">
        <f t="shared" si="8"/>
        <v>0</v>
      </c>
    </row>
    <row r="44" spans="1:10" x14ac:dyDescent="0.25">
      <c r="A44" s="172" t="s">
        <v>1194</v>
      </c>
      <c r="B44" s="96"/>
      <c r="C44" s="96"/>
      <c r="D44" s="96"/>
      <c r="E44" s="96"/>
      <c r="F44" s="96"/>
      <c r="G44" s="96"/>
      <c r="H44" s="96"/>
      <c r="I44" s="713">
        <f t="shared" si="8"/>
        <v>0</v>
      </c>
    </row>
    <row r="45" spans="1:10" x14ac:dyDescent="0.25">
      <c r="A45" s="172" t="s">
        <v>1195</v>
      </c>
      <c r="B45" s="96"/>
      <c r="C45" s="96"/>
      <c r="D45" s="96"/>
      <c r="E45" s="96"/>
      <c r="F45" s="96"/>
      <c r="G45" s="96"/>
      <c r="H45" s="96"/>
      <c r="I45" s="713">
        <f t="shared" si="8"/>
        <v>0</v>
      </c>
    </row>
    <row r="46" spans="1:10" x14ac:dyDescent="0.25">
      <c r="A46" s="172" t="s">
        <v>1196</v>
      </c>
      <c r="B46" s="96"/>
      <c r="C46" s="96"/>
      <c r="D46" s="96"/>
      <c r="E46" s="96"/>
      <c r="F46" s="96"/>
      <c r="G46" s="96"/>
      <c r="H46" s="96"/>
      <c r="I46" s="713">
        <f t="shared" si="8"/>
        <v>0</v>
      </c>
    </row>
    <row r="47" spans="1:10" x14ac:dyDescent="0.25">
      <c r="A47" s="172" t="s">
        <v>1197</v>
      </c>
      <c r="B47" s="96"/>
      <c r="C47" s="96"/>
      <c r="D47" s="96"/>
      <c r="E47" s="96"/>
      <c r="F47" s="96"/>
      <c r="G47" s="96"/>
      <c r="H47" s="96"/>
      <c r="I47" s="713">
        <f t="shared" si="8"/>
        <v>0</v>
      </c>
    </row>
    <row r="48" spans="1:10" x14ac:dyDescent="0.25">
      <c r="A48" s="714" t="s">
        <v>1198</v>
      </c>
      <c r="B48" s="715">
        <f>+B41+B40</f>
        <v>0</v>
      </c>
      <c r="C48" s="715">
        <f t="shared" ref="C48:I48" si="10">+C41+C40</f>
        <v>0</v>
      </c>
      <c r="D48" s="715">
        <f t="shared" si="10"/>
        <v>0</v>
      </c>
      <c r="E48" s="715">
        <f t="shared" si="10"/>
        <v>0</v>
      </c>
      <c r="F48" s="715">
        <f t="shared" si="10"/>
        <v>0</v>
      </c>
      <c r="G48" s="715">
        <f t="shared" si="10"/>
        <v>0</v>
      </c>
      <c r="H48" s="715">
        <f t="shared" si="10"/>
        <v>0</v>
      </c>
      <c r="I48" s="715">
        <f t="shared" si="10"/>
        <v>0</v>
      </c>
      <c r="J48" s="28"/>
    </row>
    <row r="49" spans="1:10" x14ac:dyDescent="0.25">
      <c r="A49" s="714" t="s">
        <v>1199</v>
      </c>
      <c r="B49" s="715">
        <f>SUM(B50:B52)</f>
        <v>308336.40000000002</v>
      </c>
      <c r="C49" s="715">
        <f t="shared" ref="C49:H49" si="11">SUM(C50:C52)</f>
        <v>0</v>
      </c>
      <c r="D49" s="715">
        <f t="shared" si="11"/>
        <v>0</v>
      </c>
      <c r="E49" s="715">
        <f t="shared" si="11"/>
        <v>0</v>
      </c>
      <c r="F49" s="715">
        <f t="shared" si="11"/>
        <v>0</v>
      </c>
      <c r="G49" s="715">
        <f t="shared" si="11"/>
        <v>0</v>
      </c>
      <c r="H49" s="715">
        <f t="shared" si="11"/>
        <v>3207875</v>
      </c>
      <c r="I49" s="715">
        <f>SUM(B49:H49)</f>
        <v>3516211.4</v>
      </c>
      <c r="J49" s="28"/>
    </row>
    <row r="50" spans="1:10" x14ac:dyDescent="0.25">
      <c r="A50" s="717" t="s">
        <v>1200</v>
      </c>
      <c r="B50" s="716">
        <v>308336.40000000002</v>
      </c>
      <c r="C50" s="716"/>
      <c r="D50" s="716"/>
      <c r="E50" s="716"/>
      <c r="F50" s="716"/>
      <c r="G50" s="724"/>
      <c r="H50" s="716">
        <f>3130675+7200+70000</f>
        <v>3207875</v>
      </c>
      <c r="I50" s="713">
        <f>SUM(B50:H50)</f>
        <v>3516211.4</v>
      </c>
      <c r="J50" s="28"/>
    </row>
    <row r="51" spans="1:10" x14ac:dyDescent="0.25">
      <c r="A51" s="717" t="s">
        <v>1201</v>
      </c>
      <c r="B51" s="716"/>
      <c r="C51" s="716"/>
      <c r="D51" s="716"/>
      <c r="E51" s="716"/>
      <c r="F51" s="716"/>
      <c r="G51" s="716"/>
      <c r="H51" s="716"/>
      <c r="I51" s="713">
        <f>SUM(B51:H51)</f>
        <v>0</v>
      </c>
      <c r="J51" s="28"/>
    </row>
    <row r="52" spans="1:10" x14ac:dyDescent="0.25">
      <c r="A52" s="717" t="s">
        <v>1202</v>
      </c>
      <c r="B52" s="716"/>
      <c r="C52" s="716"/>
      <c r="D52" s="716"/>
      <c r="E52" s="716"/>
      <c r="F52" s="716"/>
      <c r="G52" s="716"/>
      <c r="H52" s="716"/>
      <c r="I52" s="713">
        <f>SUM(B52:H52)</f>
        <v>0</v>
      </c>
      <c r="J52" s="28"/>
    </row>
  </sheetData>
  <mergeCells count="3">
    <mergeCell ref="B2:D2"/>
    <mergeCell ref="B21:D21"/>
    <mergeCell ref="B38:D38"/>
  </mergeCell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tabColor rgb="FFCCFFCC"/>
  </sheetPr>
  <dimension ref="B1:H36"/>
  <sheetViews>
    <sheetView view="pageBreakPreview" zoomScale="80" zoomScaleNormal="100" zoomScaleSheetLayoutView="80" workbookViewId="0">
      <selection activeCell="B25" sqref="B25:B28"/>
    </sheetView>
  </sheetViews>
  <sheetFormatPr defaultColWidth="9.109375" defaultRowHeight="13.8" x14ac:dyDescent="0.25"/>
  <cols>
    <col min="1" max="1" width="6" style="152" customWidth="1"/>
    <col min="2" max="2" width="41.88671875" style="152" customWidth="1"/>
    <col min="3" max="3" width="19.33203125" style="152" customWidth="1"/>
    <col min="4" max="4" width="15.6640625" style="152" customWidth="1"/>
    <col min="5" max="5" width="26.44140625" style="152" bestFit="1" customWidth="1"/>
    <col min="6" max="6" width="18.88671875" style="152" customWidth="1"/>
    <col min="7" max="8" width="15.6640625" style="152" customWidth="1"/>
    <col min="9" max="16384" width="9.109375" style="152"/>
  </cols>
  <sheetData>
    <row r="1" spans="2:8" ht="30" customHeight="1" x14ac:dyDescent="0.25">
      <c r="D1" s="957" t="s">
        <v>816</v>
      </c>
      <c r="E1" s="957"/>
    </row>
    <row r="2" spans="2:8" x14ac:dyDescent="0.25">
      <c r="D2" s="153" t="s">
        <v>11</v>
      </c>
      <c r="E2" s="152" t="str">
        <f>Форма!C33</f>
        <v>« 24 » октября 2024 г.</v>
      </c>
      <c r="G2" s="153" t="s">
        <v>239</v>
      </c>
      <c r="H2" s="153" t="s">
        <v>354</v>
      </c>
    </row>
    <row r="3" spans="2:8" x14ac:dyDescent="0.25">
      <c r="D3" s="153"/>
      <c r="G3" s="153"/>
      <c r="H3" s="153"/>
    </row>
    <row r="4" spans="2:8" x14ac:dyDescent="0.25">
      <c r="B4" s="152" t="s">
        <v>25</v>
      </c>
      <c r="C4" s="958" t="str">
        <f>Форма!C42</f>
        <v>Муниципальное  автономное дошкольное образовательное</v>
      </c>
      <c r="D4" s="958"/>
      <c r="E4" s="958"/>
    </row>
    <row r="5" spans="2:8" x14ac:dyDescent="0.25">
      <c r="B5" s="958" t="str">
        <f>Форма!B43</f>
        <v xml:space="preserve">                 учреждение № 169 "Детский сад комбинированного вида"</v>
      </c>
      <c r="C5" s="958"/>
      <c r="D5" s="958"/>
      <c r="E5" s="958"/>
    </row>
    <row r="6" spans="2:8" x14ac:dyDescent="0.25">
      <c r="D6" s="153"/>
      <c r="G6" s="153"/>
      <c r="H6" s="153"/>
    </row>
    <row r="7" spans="2:8" ht="29.25" customHeight="1" x14ac:dyDescent="0.25">
      <c r="B7" s="959" t="s">
        <v>413</v>
      </c>
      <c r="C7" s="959"/>
      <c r="D7" s="959"/>
      <c r="E7" s="959"/>
    </row>
    <row r="9" spans="2:8" x14ac:dyDescent="0.25">
      <c r="B9" s="2" t="s">
        <v>27</v>
      </c>
      <c r="E9" s="154"/>
    </row>
    <row r="10" spans="2:8" x14ac:dyDescent="0.25">
      <c r="B10" s="2"/>
    </row>
    <row r="11" spans="2:8" ht="55.2" x14ac:dyDescent="0.25">
      <c r="B11" s="155" t="s">
        <v>29</v>
      </c>
      <c r="C11" s="156" t="s">
        <v>392</v>
      </c>
      <c r="D11" s="156" t="s">
        <v>33</v>
      </c>
      <c r="G11" s="156" t="s">
        <v>33</v>
      </c>
      <c r="H11" s="156" t="s">
        <v>33</v>
      </c>
    </row>
    <row r="12" spans="2:8" x14ac:dyDescent="0.25">
      <c r="B12" s="157">
        <v>1</v>
      </c>
      <c r="C12" s="156">
        <v>3</v>
      </c>
      <c r="D12" s="156">
        <v>4</v>
      </c>
      <c r="G12" s="156">
        <v>4</v>
      </c>
      <c r="H12" s="156">
        <v>4</v>
      </c>
    </row>
    <row r="13" spans="2:8" ht="27.6" x14ac:dyDescent="0.25">
      <c r="B13" s="158" t="s">
        <v>414</v>
      </c>
      <c r="C13" s="159" t="s">
        <v>37</v>
      </c>
      <c r="D13" s="160" t="e">
        <f>SUM(D14:D19)</f>
        <v>#REF!</v>
      </c>
      <c r="G13" s="160" t="e">
        <f>SUM(G14:G19)</f>
        <v>#REF!</v>
      </c>
      <c r="H13" s="160" t="e">
        <f>SUM(H14:H19)</f>
        <v>#REF!</v>
      </c>
    </row>
    <row r="14" spans="2:8" ht="27.6" x14ac:dyDescent="0.25">
      <c r="B14" s="161" t="s">
        <v>416</v>
      </c>
      <c r="C14" s="159" t="s">
        <v>417</v>
      </c>
      <c r="D14" s="160">
        <f>G14+H14</f>
        <v>0</v>
      </c>
      <c r="G14" s="160"/>
      <c r="H14" s="160"/>
    </row>
    <row r="15" spans="2:8" x14ac:dyDescent="0.25">
      <c r="B15" s="161" t="s">
        <v>418</v>
      </c>
      <c r="C15" s="159" t="s">
        <v>417</v>
      </c>
      <c r="D15" s="160">
        <f>G15+H15</f>
        <v>0</v>
      </c>
      <c r="G15" s="160"/>
      <c r="H15" s="160"/>
    </row>
    <row r="16" spans="2:8" x14ac:dyDescent="0.25">
      <c r="B16" s="161" t="s">
        <v>419</v>
      </c>
      <c r="C16" s="159" t="s">
        <v>417</v>
      </c>
      <c r="D16" s="160">
        <f>G16+H16</f>
        <v>0</v>
      </c>
      <c r="G16" s="160"/>
      <c r="H16" s="160"/>
    </row>
    <row r="17" spans="2:8" x14ac:dyDescent="0.25">
      <c r="B17" s="161" t="s">
        <v>420</v>
      </c>
      <c r="C17" s="159" t="s">
        <v>417</v>
      </c>
      <c r="D17" s="160">
        <f>G17+H17</f>
        <v>0</v>
      </c>
      <c r="G17" s="160"/>
      <c r="H17" s="160"/>
    </row>
    <row r="18" spans="2:8" ht="27.6" x14ac:dyDescent="0.25">
      <c r="B18" s="161" t="s">
        <v>421</v>
      </c>
      <c r="C18" s="159" t="s">
        <v>422</v>
      </c>
      <c r="D18" s="160" t="e">
        <f>#REF!</f>
        <v>#REF!</v>
      </c>
      <c r="G18" s="160" t="e">
        <f>#REF!</f>
        <v>#REF!</v>
      </c>
      <c r="H18" s="160" t="e">
        <f>#REF!</f>
        <v>#REF!</v>
      </c>
    </row>
    <row r="19" spans="2:8" ht="14.25" customHeight="1" x14ac:dyDescent="0.25">
      <c r="B19" s="161" t="s">
        <v>423</v>
      </c>
      <c r="C19" s="159" t="s">
        <v>422</v>
      </c>
      <c r="D19" s="160">
        <f>G19+H19</f>
        <v>0</v>
      </c>
      <c r="G19" s="160"/>
      <c r="H19" s="160"/>
    </row>
    <row r="20" spans="2:8" x14ac:dyDescent="0.25">
      <c r="B20" s="162" t="s">
        <v>424</v>
      </c>
      <c r="C20" s="159" t="s">
        <v>37</v>
      </c>
      <c r="D20" s="160" t="e">
        <f>SUM(D21:D31)</f>
        <v>#REF!</v>
      </c>
      <c r="G20" s="160" t="e">
        <f>SUM(G21:G31)</f>
        <v>#REF!</v>
      </c>
      <c r="H20" s="160">
        <f>SUM(H21:H31)</f>
        <v>0</v>
      </c>
    </row>
    <row r="21" spans="2:8" ht="27.6" x14ac:dyDescent="0.25">
      <c r="B21" s="161" t="s">
        <v>425</v>
      </c>
      <c r="C21" s="159" t="s">
        <v>426</v>
      </c>
      <c r="D21" s="160">
        <f>G21+H21</f>
        <v>0</v>
      </c>
      <c r="G21" s="160"/>
      <c r="H21" s="160"/>
    </row>
    <row r="22" spans="2:8" x14ac:dyDescent="0.25">
      <c r="B22" s="161" t="s">
        <v>427</v>
      </c>
      <c r="C22" s="159" t="s">
        <v>426</v>
      </c>
      <c r="D22" s="160">
        <f>G22+H22</f>
        <v>0</v>
      </c>
      <c r="G22" s="160"/>
      <c r="H22" s="160"/>
    </row>
    <row r="23" spans="2:8" ht="27.6" x14ac:dyDescent="0.25">
      <c r="B23" s="161" t="s">
        <v>428</v>
      </c>
      <c r="C23" s="159" t="s">
        <v>243</v>
      </c>
      <c r="D23" s="160" t="e">
        <f>#REF!+#REF!+#REF!</f>
        <v>#REF!</v>
      </c>
      <c r="G23" s="160" t="e">
        <f>#REF!</f>
        <v>#REF!</v>
      </c>
      <c r="H23" s="160"/>
    </row>
    <row r="24" spans="2:8" ht="27.6" x14ac:dyDescent="0.25">
      <c r="B24" s="161" t="s">
        <v>428</v>
      </c>
      <c r="C24" s="159" t="s">
        <v>256</v>
      </c>
      <c r="D24" s="160" t="e">
        <f>#REF!+#REF!+#REF!</f>
        <v>#REF!</v>
      </c>
      <c r="G24" s="160" t="e">
        <f>#REF!</f>
        <v>#REF!</v>
      </c>
      <c r="H24" s="160"/>
    </row>
    <row r="25" spans="2:8" ht="27.6" x14ac:dyDescent="0.25">
      <c r="B25" s="161" t="s">
        <v>428</v>
      </c>
      <c r="C25" s="159" t="s">
        <v>259</v>
      </c>
      <c r="D25" s="160" t="e">
        <f>#REF!+#REF!+#REF!</f>
        <v>#REF!</v>
      </c>
      <c r="G25" s="160" t="e">
        <f>#REF!</f>
        <v>#REF!</v>
      </c>
      <c r="H25" s="160"/>
    </row>
    <row r="26" spans="2:8" x14ac:dyDescent="0.25">
      <c r="B26" s="161" t="s">
        <v>802</v>
      </c>
      <c r="C26" s="159" t="s">
        <v>243</v>
      </c>
      <c r="D26" s="160">
        <f t="shared" ref="D26:D31" si="0">G26+H26</f>
        <v>0</v>
      </c>
      <c r="G26" s="160"/>
      <c r="H26" s="160"/>
    </row>
    <row r="27" spans="2:8" ht="41.4" x14ac:dyDescent="0.25">
      <c r="B27" s="161" t="s">
        <v>803</v>
      </c>
      <c r="C27" s="159" t="s">
        <v>256</v>
      </c>
      <c r="D27" s="160">
        <f t="shared" si="0"/>
        <v>0</v>
      </c>
      <c r="G27" s="160"/>
      <c r="H27" s="160"/>
    </row>
    <row r="28" spans="2:8" x14ac:dyDescent="0.25">
      <c r="B28" s="161" t="s">
        <v>429</v>
      </c>
      <c r="C28" s="159" t="s">
        <v>309</v>
      </c>
      <c r="D28" s="160">
        <f t="shared" si="0"/>
        <v>0</v>
      </c>
      <c r="G28" s="160"/>
      <c r="H28" s="160"/>
    </row>
    <row r="29" spans="2:8" x14ac:dyDescent="0.25">
      <c r="B29" s="161" t="s">
        <v>430</v>
      </c>
      <c r="C29" s="159" t="s">
        <v>309</v>
      </c>
      <c r="D29" s="160">
        <f t="shared" si="0"/>
        <v>0</v>
      </c>
      <c r="G29" s="160"/>
      <c r="H29" s="160"/>
    </row>
    <row r="30" spans="2:8" x14ac:dyDescent="0.25">
      <c r="B30" s="161" t="s">
        <v>420</v>
      </c>
      <c r="C30" s="159" t="s">
        <v>309</v>
      </c>
      <c r="D30" s="160">
        <f t="shared" si="0"/>
        <v>0</v>
      </c>
      <c r="G30" s="160"/>
      <c r="H30" s="160"/>
    </row>
    <row r="31" spans="2:8" ht="27.6" x14ac:dyDescent="0.25">
      <c r="B31" s="161" t="s">
        <v>431</v>
      </c>
      <c r="C31" s="159" t="s">
        <v>432</v>
      </c>
      <c r="D31" s="160">
        <f t="shared" si="0"/>
        <v>0</v>
      </c>
      <c r="G31" s="160"/>
      <c r="H31" s="160"/>
    </row>
    <row r="32" spans="2:8" x14ac:dyDescent="0.25">
      <c r="B32" s="163"/>
      <c r="C32" s="164"/>
      <c r="D32" s="165"/>
      <c r="G32" s="165"/>
      <c r="H32" s="165"/>
    </row>
    <row r="33" spans="2:8" x14ac:dyDescent="0.25">
      <c r="B33" s="163"/>
      <c r="C33" s="164"/>
      <c r="D33" s="165"/>
      <c r="G33" s="165"/>
      <c r="H33" s="165"/>
    </row>
    <row r="34" spans="2:8" x14ac:dyDescent="0.25">
      <c r="C34" s="573"/>
      <c r="D34" s="574"/>
      <c r="G34" s="574"/>
      <c r="H34" s="574"/>
    </row>
    <row r="35" spans="2:8" x14ac:dyDescent="0.25">
      <c r="C35" s="573"/>
      <c r="D35" s="574"/>
      <c r="G35" s="574"/>
      <c r="H35" s="574"/>
    </row>
    <row r="36" spans="2:8" x14ac:dyDescent="0.25">
      <c r="C36" s="573"/>
      <c r="D36" s="574"/>
      <c r="G36" s="574"/>
      <c r="H36" s="574"/>
    </row>
  </sheetData>
  <mergeCells count="4">
    <mergeCell ref="D1:E1"/>
    <mergeCell ref="C4:E4"/>
    <mergeCell ref="B5:E5"/>
    <mergeCell ref="B7:E7"/>
  </mergeCells>
  <pageMargins left="0.7" right="0.7" top="0.75" bottom="0.75" header="0.3" footer="0.3"/>
  <pageSetup paperSize="9" scale="8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pageSetUpPr fitToPage="1"/>
  </sheetPr>
  <dimension ref="B1:T127"/>
  <sheetViews>
    <sheetView view="pageBreakPreview" topLeftCell="B1" zoomScale="80" zoomScaleNormal="100" zoomScaleSheetLayoutView="80" workbookViewId="0">
      <selection activeCell="B25" sqref="B25:B28"/>
    </sheetView>
  </sheetViews>
  <sheetFormatPr defaultRowHeight="13.8" x14ac:dyDescent="0.25"/>
  <cols>
    <col min="1" max="1" width="3.5546875" customWidth="1"/>
    <col min="2" max="2" width="67.88671875" customWidth="1"/>
    <col min="3" max="5" width="14.88671875" customWidth="1"/>
    <col min="6" max="8" width="12.33203125" customWidth="1"/>
    <col min="9" max="11" width="15" customWidth="1"/>
    <col min="13" max="15" width="10.88671875" bestFit="1" customWidth="1"/>
    <col min="16" max="16" width="12.44140625" bestFit="1" customWidth="1"/>
    <col min="17" max="17" width="15" bestFit="1" customWidth="1"/>
    <col min="20" max="20" width="14.88671875" bestFit="1" customWidth="1"/>
  </cols>
  <sheetData>
    <row r="1" spans="2:19" ht="29.25" customHeight="1" x14ac:dyDescent="0.25">
      <c r="I1" s="957" t="s">
        <v>815</v>
      </c>
      <c r="J1" s="957"/>
      <c r="K1" s="957"/>
    </row>
    <row r="2" spans="2:19" x14ac:dyDescent="0.25">
      <c r="I2" s="153" t="s">
        <v>11</v>
      </c>
      <c r="J2" s="152" t="str">
        <f>Форма!C33</f>
        <v>« 24 » октября 2024 г.</v>
      </c>
    </row>
    <row r="3" spans="2:19" x14ac:dyDescent="0.25">
      <c r="B3" t="s">
        <v>25</v>
      </c>
      <c r="C3" s="906" t="str">
        <f>Форма!C42</f>
        <v>Муниципальное  автономное дошкольное образовательное</v>
      </c>
      <c r="D3" s="906"/>
      <c r="E3" s="906"/>
      <c r="F3" s="906"/>
      <c r="G3" s="906"/>
      <c r="H3" s="906"/>
      <c r="I3" s="153"/>
      <c r="J3" s="152"/>
    </row>
    <row r="4" spans="2:19" x14ac:dyDescent="0.25">
      <c r="B4" s="906" t="str">
        <f>Форма!B43</f>
        <v xml:space="preserve">                 учреждение № 169 "Детский сад комбинированного вида"</v>
      </c>
      <c r="C4" s="906"/>
      <c r="D4" s="906"/>
      <c r="E4" s="906"/>
      <c r="F4" s="906"/>
      <c r="G4" s="906"/>
      <c r="H4" s="906"/>
      <c r="I4" s="153"/>
      <c r="J4" s="152"/>
    </row>
    <row r="5" spans="2:19" x14ac:dyDescent="0.25">
      <c r="I5" s="153"/>
      <c r="J5" s="152"/>
    </row>
    <row r="6" spans="2:19" x14ac:dyDescent="0.25">
      <c r="B6" s="963" t="s">
        <v>433</v>
      </c>
      <c r="C6" s="963"/>
      <c r="D6" s="963"/>
      <c r="E6" s="963"/>
      <c r="F6" s="963"/>
    </row>
    <row r="7" spans="2:19" x14ac:dyDescent="0.25">
      <c r="B7" s="963" t="str">
        <f>Форма!B28</f>
        <v>на 2024 г. и плановый период 2025 и 2026 годов</v>
      </c>
      <c r="C7" s="963"/>
      <c r="D7" s="963"/>
      <c r="E7" s="963"/>
      <c r="F7" s="963"/>
    </row>
    <row r="9" spans="2:19" x14ac:dyDescent="0.25">
      <c r="B9" s="2" t="s">
        <v>27</v>
      </c>
    </row>
    <row r="11" spans="2:19" ht="15" customHeight="1" x14ac:dyDescent="0.25">
      <c r="B11" s="960" t="s">
        <v>29</v>
      </c>
      <c r="C11" s="861" t="s">
        <v>33</v>
      </c>
      <c r="D11" s="861"/>
      <c r="E11" s="861"/>
    </row>
    <row r="12" spans="2:19" x14ac:dyDescent="0.25">
      <c r="B12" s="961"/>
      <c r="C12" s="864">
        <f>Форма!R1</f>
        <v>2024</v>
      </c>
      <c r="D12" s="864">
        <f>Форма!R2</f>
        <v>2025</v>
      </c>
      <c r="E12" s="864">
        <f>Форма!R3</f>
        <v>2026</v>
      </c>
    </row>
    <row r="13" spans="2:19" x14ac:dyDescent="0.25">
      <c r="B13" s="962"/>
      <c r="C13" s="865"/>
      <c r="D13" s="865"/>
      <c r="E13" s="865"/>
    </row>
    <row r="14" spans="2:19" x14ac:dyDescent="0.25">
      <c r="B14" s="166">
        <v>1</v>
      </c>
      <c r="C14" s="167">
        <v>2</v>
      </c>
      <c r="D14" s="167">
        <v>3</v>
      </c>
      <c r="E14" s="167">
        <v>4</v>
      </c>
    </row>
    <row r="15" spans="2:19" x14ac:dyDescent="0.25">
      <c r="B15" s="168" t="s">
        <v>42</v>
      </c>
      <c r="C15" s="169" t="e">
        <f>SUM(C16,C22,C28,C33,C39)</f>
        <v>#REF!</v>
      </c>
      <c r="D15" s="169" t="e">
        <f>SUM(D16,D22,D28,D33,D39)</f>
        <v>#REF!</v>
      </c>
      <c r="E15" s="169" t="e">
        <f>SUM(E16,E22,E28,E33,E39)</f>
        <v>#REF!</v>
      </c>
      <c r="M15" s="132" t="e">
        <f>C15-#REF!-'Утверждено (ПДД)'!E47-#REF!+'Утверждено (ПДД)'!E57</f>
        <v>#REF!</v>
      </c>
      <c r="N15" s="132" t="e">
        <f>D15-#REF!-'Утверждено (ПДД)'!F47</f>
        <v>#REF!</v>
      </c>
      <c r="O15" s="132" t="e">
        <f>E15-#REF!-'Утверждено (ПДД)'!G47</f>
        <v>#REF!</v>
      </c>
      <c r="Q15" s="132" t="e">
        <f>C15-Форма!F62-Форма!F63-Форма!F66-Форма!F67-Форма!F71-Форма!F73</f>
        <v>#REF!</v>
      </c>
      <c r="R15" s="132" t="e">
        <f>D15-Форма!G62-Форма!G63-Форма!G66-Форма!G67-Форма!G71-Форма!G73</f>
        <v>#REF!</v>
      </c>
      <c r="S15" s="132" t="e">
        <f>E15-Форма!H62-Форма!H63-Форма!H66-Форма!H67-Форма!H71-Форма!H73</f>
        <v>#REF!</v>
      </c>
    </row>
    <row r="16" spans="2:19" ht="27.6" x14ac:dyDescent="0.25">
      <c r="B16" s="168" t="s">
        <v>44</v>
      </c>
      <c r="C16" s="169">
        <f>SUM(C17:C21)</f>
        <v>0</v>
      </c>
      <c r="D16" s="169">
        <f>SUM(D17:D21)</f>
        <v>0</v>
      </c>
      <c r="E16" s="169">
        <f>SUM(E17:E21)</f>
        <v>0</v>
      </c>
    </row>
    <row r="17" spans="2:12" ht="49.5" customHeight="1" x14ac:dyDescent="0.25">
      <c r="B17" s="168" t="s">
        <v>434</v>
      </c>
      <c r="C17" s="169">
        <f>'Утверждено (ПДД)'!E50</f>
        <v>0</v>
      </c>
      <c r="D17" s="169">
        <f>'Утверждено (ПДД)'!F50</f>
        <v>0</v>
      </c>
      <c r="E17" s="169">
        <f>'Утверждено (ПДД)'!G50</f>
        <v>0</v>
      </c>
      <c r="L17" t="s">
        <v>435</v>
      </c>
    </row>
    <row r="18" spans="2:12" x14ac:dyDescent="0.25">
      <c r="B18" s="168"/>
      <c r="C18" s="169"/>
      <c r="D18" s="169"/>
      <c r="E18" s="169"/>
    </row>
    <row r="19" spans="2:12" x14ac:dyDescent="0.25">
      <c r="B19" s="168"/>
      <c r="C19" s="169"/>
      <c r="D19" s="169"/>
      <c r="E19" s="169"/>
    </row>
    <row r="20" spans="2:12" x14ac:dyDescent="0.25">
      <c r="B20" s="168"/>
      <c r="C20" s="169"/>
      <c r="D20" s="169"/>
      <c r="E20" s="169"/>
    </row>
    <row r="21" spans="2:12" x14ac:dyDescent="0.25">
      <c r="B21" s="168"/>
      <c r="C21" s="169"/>
      <c r="D21" s="169"/>
      <c r="E21" s="169"/>
    </row>
    <row r="22" spans="2:12" ht="27.6" x14ac:dyDescent="0.25">
      <c r="B22" s="168" t="s">
        <v>47</v>
      </c>
      <c r="C22" s="169" t="e">
        <f>SUM(C23:C27)</f>
        <v>#REF!</v>
      </c>
      <c r="D22" s="169" t="e">
        <f>SUM(D23:D27)</f>
        <v>#REF!</v>
      </c>
      <c r="E22" s="169" t="e">
        <f>SUM(E23:E27)</f>
        <v>#REF!</v>
      </c>
    </row>
    <row r="23" spans="2:12" ht="41.4" x14ac:dyDescent="0.25">
      <c r="B23" s="168" t="s">
        <v>436</v>
      </c>
      <c r="C23" s="169" t="e">
        <f>#REF!</f>
        <v>#REF!</v>
      </c>
      <c r="D23" s="169" t="e">
        <f>#REF!</f>
        <v>#REF!</v>
      </c>
      <c r="E23" s="169" t="e">
        <f>#REF!</f>
        <v>#REF!</v>
      </c>
      <c r="L23" t="s">
        <v>437</v>
      </c>
    </row>
    <row r="24" spans="2:12" x14ac:dyDescent="0.25">
      <c r="B24" s="168" t="s">
        <v>438</v>
      </c>
      <c r="C24" s="169">
        <f>'Утверждено (ПДД)'!E49+'Утверждено (ПДД)'!E48</f>
        <v>741000</v>
      </c>
      <c r="D24" s="169">
        <f>'Утверждено (ПДД)'!F49+'Утверждено (ПДД)'!F48</f>
        <v>677200</v>
      </c>
      <c r="E24" s="169">
        <f>'Утверждено (ПДД)'!G49+'Утверждено (ПДД)'!G48</f>
        <v>677200</v>
      </c>
      <c r="G24" s="103"/>
      <c r="H24" s="103"/>
      <c r="I24" s="103"/>
      <c r="L24" t="s">
        <v>437</v>
      </c>
    </row>
    <row r="25" spans="2:12" ht="50.25" customHeight="1" x14ac:dyDescent="0.25">
      <c r="B25" s="168" t="s">
        <v>439</v>
      </c>
      <c r="C25" s="169">
        <f>'Утверждено (ПДД)'!E53</f>
        <v>0</v>
      </c>
      <c r="D25" s="169">
        <f>'Утверждено (ПДД)'!F53</f>
        <v>0</v>
      </c>
      <c r="E25" s="169">
        <f>'Утверждено (ПДД)'!G53</f>
        <v>0</v>
      </c>
      <c r="G25" s="103"/>
      <c r="H25" s="103"/>
      <c r="I25" s="103"/>
      <c r="L25" t="s">
        <v>440</v>
      </c>
    </row>
    <row r="26" spans="2:12" x14ac:dyDescent="0.25">
      <c r="B26" s="168" t="s">
        <v>798</v>
      </c>
      <c r="C26" s="169">
        <f>'Утверждено (ПДД)'!E51</f>
        <v>70000</v>
      </c>
      <c r="D26" s="169">
        <f>'Утверждено (ПДД)'!F51</f>
        <v>70000</v>
      </c>
      <c r="E26" s="169">
        <f>'Утверждено (ПДД)'!G51</f>
        <v>70000</v>
      </c>
    </row>
    <row r="27" spans="2:12" x14ac:dyDescent="0.25">
      <c r="B27" s="168"/>
      <c r="C27" s="169"/>
      <c r="D27" s="169"/>
      <c r="E27" s="169"/>
    </row>
    <row r="28" spans="2:12" x14ac:dyDescent="0.25">
      <c r="B28" s="170" t="s">
        <v>58</v>
      </c>
      <c r="C28" s="169" t="e">
        <f>SUM(C29:C32)</f>
        <v>#REF!</v>
      </c>
      <c r="D28" s="169">
        <f>SUM(D29:D32)</f>
        <v>0</v>
      </c>
      <c r="E28" s="169">
        <f>SUM(E29:E32)</f>
        <v>0</v>
      </c>
    </row>
    <row r="29" spans="2:12" ht="27.6" x14ac:dyDescent="0.25">
      <c r="B29" s="168" t="s">
        <v>441</v>
      </c>
      <c r="C29" s="169"/>
      <c r="D29" s="169"/>
      <c r="E29" s="169"/>
      <c r="L29" t="s">
        <v>440</v>
      </c>
    </row>
    <row r="30" spans="2:12" ht="27.6" x14ac:dyDescent="0.25">
      <c r="B30" s="168" t="s">
        <v>442</v>
      </c>
      <c r="C30" s="169" t="e">
        <f>#REF!</f>
        <v>#REF!</v>
      </c>
      <c r="D30" s="169"/>
      <c r="E30" s="169"/>
    </row>
    <row r="31" spans="2:12" x14ac:dyDescent="0.25">
      <c r="B31" s="170"/>
      <c r="C31" s="169"/>
      <c r="D31" s="169"/>
      <c r="E31" s="169"/>
    </row>
    <row r="32" spans="2:12" x14ac:dyDescent="0.25">
      <c r="B32" s="170"/>
      <c r="C32" s="169"/>
      <c r="D32" s="169"/>
      <c r="E32" s="169"/>
    </row>
    <row r="33" spans="2:12" ht="15" customHeight="1" x14ac:dyDescent="0.25">
      <c r="B33" s="170" t="s">
        <v>62</v>
      </c>
      <c r="C33" s="169">
        <f>SUM(C34:C38)</f>
        <v>0</v>
      </c>
      <c r="D33" s="169">
        <f>SUM(D34:D38)</f>
        <v>0</v>
      </c>
      <c r="E33" s="169">
        <f>SUM(E34:E38)</f>
        <v>0</v>
      </c>
    </row>
    <row r="34" spans="2:12" ht="49.5" customHeight="1" x14ac:dyDescent="0.25">
      <c r="B34" s="168" t="s">
        <v>443</v>
      </c>
      <c r="C34" s="169"/>
      <c r="D34" s="169"/>
      <c r="E34" s="169"/>
      <c r="L34" t="s">
        <v>440</v>
      </c>
    </row>
    <row r="35" spans="2:12" ht="15" customHeight="1" x14ac:dyDescent="0.25">
      <c r="B35" s="170" t="s">
        <v>444</v>
      </c>
      <c r="C35" s="169"/>
      <c r="D35" s="169"/>
      <c r="E35" s="169"/>
      <c r="L35" t="s">
        <v>440</v>
      </c>
    </row>
    <row r="36" spans="2:12" ht="15" customHeight="1" x14ac:dyDescent="0.25">
      <c r="B36" s="170"/>
      <c r="C36" s="169"/>
      <c r="D36" s="169"/>
      <c r="E36" s="169"/>
    </row>
    <row r="37" spans="2:12" ht="15" customHeight="1" x14ac:dyDescent="0.25">
      <c r="B37" s="170"/>
      <c r="C37" s="169"/>
      <c r="D37" s="169"/>
      <c r="E37" s="169"/>
    </row>
    <row r="38" spans="2:12" ht="15" customHeight="1" x14ac:dyDescent="0.25">
      <c r="B38" s="170"/>
      <c r="C38" s="169"/>
      <c r="D38" s="169"/>
      <c r="E38" s="169"/>
    </row>
    <row r="39" spans="2:12" ht="15" customHeight="1" x14ac:dyDescent="0.25">
      <c r="B39" s="170" t="s">
        <v>67</v>
      </c>
      <c r="C39" s="169">
        <f>SUM(C40:C45)</f>
        <v>0</v>
      </c>
      <c r="D39" s="169">
        <f>SUM(D40:D45)</f>
        <v>0</v>
      </c>
      <c r="E39" s="169">
        <f>SUM(E40:E45)</f>
        <v>0</v>
      </c>
    </row>
    <row r="40" spans="2:12" ht="27.6" x14ac:dyDescent="0.25">
      <c r="B40" s="168" t="s">
        <v>445</v>
      </c>
      <c r="C40" s="169">
        <f>'Утверждено (ПДД)'!E56</f>
        <v>0</v>
      </c>
      <c r="D40" s="169">
        <f>'Утверждено (ПДД)'!F56</f>
        <v>0</v>
      </c>
      <c r="E40" s="169">
        <f>'Утверждено (ПДД)'!G56</f>
        <v>0</v>
      </c>
      <c r="L40" t="s">
        <v>446</v>
      </c>
    </row>
    <row r="41" spans="2:12" ht="15" customHeight="1" x14ac:dyDescent="0.25">
      <c r="B41" s="170" t="s">
        <v>447</v>
      </c>
      <c r="C41" s="169"/>
      <c r="D41" s="169"/>
      <c r="E41" s="169"/>
      <c r="L41" t="s">
        <v>446</v>
      </c>
    </row>
    <row r="42" spans="2:12" ht="15" customHeight="1" x14ac:dyDescent="0.25">
      <c r="B42" s="170" t="s">
        <v>448</v>
      </c>
      <c r="C42" s="169"/>
      <c r="D42" s="169"/>
      <c r="E42" s="169"/>
      <c r="L42" t="s">
        <v>446</v>
      </c>
    </row>
    <row r="43" spans="2:12" ht="15" customHeight="1" x14ac:dyDescent="0.25">
      <c r="B43" s="170"/>
      <c r="C43" s="169"/>
      <c r="D43" s="169"/>
      <c r="E43" s="169"/>
    </row>
    <row r="44" spans="2:12" ht="15" customHeight="1" x14ac:dyDescent="0.25">
      <c r="B44" s="170"/>
      <c r="C44" s="169"/>
      <c r="D44" s="169"/>
      <c r="E44" s="169"/>
    </row>
    <row r="45" spans="2:12" ht="15" customHeight="1" x14ac:dyDescent="0.25">
      <c r="B45" s="170"/>
      <c r="C45" s="169"/>
      <c r="D45" s="169"/>
      <c r="E45" s="169"/>
    </row>
    <row r="47" spans="2:12" x14ac:dyDescent="0.25">
      <c r="B47" s="11" t="s">
        <v>449</v>
      </c>
    </row>
    <row r="48" spans="2:12" s="4" customFormat="1" ht="32.25" customHeight="1" x14ac:dyDescent="0.25">
      <c r="B48" s="960" t="s">
        <v>29</v>
      </c>
      <c r="C48" s="860" t="s">
        <v>450</v>
      </c>
      <c r="D48" s="860"/>
      <c r="E48" s="860"/>
      <c r="F48" s="860" t="s">
        <v>451</v>
      </c>
      <c r="G48" s="860"/>
      <c r="H48" s="860"/>
      <c r="I48" s="860" t="s">
        <v>452</v>
      </c>
      <c r="J48" s="860"/>
      <c r="K48" s="860"/>
    </row>
    <row r="49" spans="2:20" x14ac:dyDescent="0.25">
      <c r="B49" s="961"/>
      <c r="C49" s="864">
        <f>$C$12</f>
        <v>2024</v>
      </c>
      <c r="D49" s="864">
        <f>$D$12</f>
        <v>2025</v>
      </c>
      <c r="E49" s="864">
        <f>$E$12</f>
        <v>2026</v>
      </c>
      <c r="F49" s="864">
        <f>C49</f>
        <v>2024</v>
      </c>
      <c r="G49" s="864">
        <f>D49</f>
        <v>2025</v>
      </c>
      <c r="H49" s="864">
        <f>E49</f>
        <v>2026</v>
      </c>
      <c r="I49" s="864">
        <f>C49</f>
        <v>2024</v>
      </c>
      <c r="J49" s="864">
        <f>D49</f>
        <v>2025</v>
      </c>
      <c r="K49" s="864">
        <f>E49</f>
        <v>2026</v>
      </c>
    </row>
    <row r="50" spans="2:20" x14ac:dyDescent="0.25">
      <c r="B50" s="962"/>
      <c r="C50" s="865"/>
      <c r="D50" s="865"/>
      <c r="E50" s="865"/>
      <c r="F50" s="865"/>
      <c r="G50" s="865"/>
      <c r="H50" s="865"/>
      <c r="I50" s="865"/>
      <c r="J50" s="865"/>
      <c r="K50" s="865"/>
    </row>
    <row r="51" spans="2:20" x14ac:dyDescent="0.25">
      <c r="B51" s="171"/>
      <c r="C51" s="96"/>
      <c r="D51" s="96"/>
      <c r="E51" s="96"/>
      <c r="F51" s="96"/>
      <c r="G51" s="96"/>
      <c r="H51" s="96"/>
      <c r="I51" s="96">
        <f>C51*F51</f>
        <v>0</v>
      </c>
      <c r="J51" s="96">
        <f t="shared" ref="J51:K55" si="0">D51*G51</f>
        <v>0</v>
      </c>
      <c r="K51" s="96">
        <f t="shared" si="0"/>
        <v>0</v>
      </c>
      <c r="L51" t="s">
        <v>453</v>
      </c>
      <c r="Q51" s="132">
        <f>I51-C17</f>
        <v>0</v>
      </c>
      <c r="R51" s="132">
        <f>J51-D17</f>
        <v>0</v>
      </c>
      <c r="S51" s="132">
        <f>K51-E17</f>
        <v>0</v>
      </c>
    </row>
    <row r="52" spans="2:20" x14ac:dyDescent="0.25">
      <c r="B52" s="172"/>
      <c r="C52" s="96"/>
      <c r="D52" s="96"/>
      <c r="E52" s="96"/>
      <c r="F52" s="96"/>
      <c r="G52" s="96"/>
      <c r="H52" s="96"/>
      <c r="I52" s="96">
        <f>C52*F52</f>
        <v>0</v>
      </c>
      <c r="J52" s="96">
        <f t="shared" si="0"/>
        <v>0</v>
      </c>
      <c r="K52" s="96">
        <f t="shared" si="0"/>
        <v>0</v>
      </c>
    </row>
    <row r="53" spans="2:20" x14ac:dyDescent="0.25">
      <c r="B53" s="172"/>
      <c r="C53" s="96"/>
      <c r="D53" s="96"/>
      <c r="E53" s="96"/>
      <c r="F53" s="96"/>
      <c r="G53" s="96"/>
      <c r="H53" s="96"/>
      <c r="I53" s="96">
        <f>C53*F53</f>
        <v>0</v>
      </c>
      <c r="J53" s="96">
        <f t="shared" si="0"/>
        <v>0</v>
      </c>
      <c r="K53" s="96">
        <f t="shared" si="0"/>
        <v>0</v>
      </c>
    </row>
    <row r="54" spans="2:20" x14ac:dyDescent="0.25">
      <c r="B54" s="172"/>
      <c r="C54" s="96"/>
      <c r="D54" s="96"/>
      <c r="E54" s="96"/>
      <c r="F54" s="96"/>
      <c r="G54" s="96"/>
      <c r="H54" s="96"/>
      <c r="I54" s="96">
        <f>C54*F54</f>
        <v>0</v>
      </c>
      <c r="J54" s="96">
        <f t="shared" si="0"/>
        <v>0</v>
      </c>
      <c r="K54" s="96">
        <f t="shared" si="0"/>
        <v>0</v>
      </c>
    </row>
    <row r="55" spans="2:20" x14ac:dyDescent="0.25">
      <c r="B55" s="172"/>
      <c r="C55" s="96"/>
      <c r="D55" s="96"/>
      <c r="E55" s="96"/>
      <c r="F55" s="96"/>
      <c r="G55" s="96"/>
      <c r="H55" s="96"/>
      <c r="I55" s="96">
        <f>C55*F55</f>
        <v>0</v>
      </c>
      <c r="J55" s="96">
        <f t="shared" si="0"/>
        <v>0</v>
      </c>
      <c r="K55" s="96">
        <f t="shared" si="0"/>
        <v>0</v>
      </c>
    </row>
    <row r="56" spans="2:20" x14ac:dyDescent="0.25">
      <c r="B56" s="172" t="s">
        <v>454</v>
      </c>
      <c r="C56" s="167" t="s">
        <v>415</v>
      </c>
      <c r="D56" s="167" t="s">
        <v>415</v>
      </c>
      <c r="E56" s="167" t="s">
        <v>415</v>
      </c>
      <c r="F56" s="167" t="s">
        <v>415</v>
      </c>
      <c r="G56" s="167" t="s">
        <v>415</v>
      </c>
      <c r="H56" s="167" t="s">
        <v>415</v>
      </c>
      <c r="I56" s="96">
        <f>SUM(I51:I55)</f>
        <v>0</v>
      </c>
      <c r="J56" s="96">
        <f>SUM(J51:J55)</f>
        <v>0</v>
      </c>
      <c r="K56" s="96">
        <f>SUM(K51:K55)</f>
        <v>0</v>
      </c>
    </row>
    <row r="58" spans="2:20" x14ac:dyDescent="0.25">
      <c r="B58" s="28" t="s">
        <v>455</v>
      </c>
    </row>
    <row r="59" spans="2:20" s="4" customFormat="1" ht="36.75" customHeight="1" x14ac:dyDescent="0.25">
      <c r="B59" s="960" t="s">
        <v>29</v>
      </c>
      <c r="C59" s="860" t="s">
        <v>456</v>
      </c>
      <c r="D59" s="860"/>
      <c r="E59" s="860"/>
      <c r="F59" s="860" t="s">
        <v>457</v>
      </c>
      <c r="G59" s="860"/>
      <c r="H59" s="860"/>
      <c r="I59" s="860" t="s">
        <v>458</v>
      </c>
      <c r="J59" s="860"/>
      <c r="K59" s="860"/>
    </row>
    <row r="60" spans="2:20" x14ac:dyDescent="0.25">
      <c r="B60" s="961"/>
      <c r="C60" s="864">
        <f>$C$12</f>
        <v>2024</v>
      </c>
      <c r="D60" s="864">
        <f>$D$12</f>
        <v>2025</v>
      </c>
      <c r="E60" s="864">
        <f>$E$12</f>
        <v>2026</v>
      </c>
      <c r="F60" s="864">
        <f>C60</f>
        <v>2024</v>
      </c>
      <c r="G60" s="864">
        <f>D60</f>
        <v>2025</v>
      </c>
      <c r="H60" s="864">
        <f>E60</f>
        <v>2026</v>
      </c>
      <c r="I60" s="864">
        <f>C60</f>
        <v>2024</v>
      </c>
      <c r="J60" s="864">
        <f>D60</f>
        <v>2025</v>
      </c>
      <c r="K60" s="864">
        <f>E60</f>
        <v>2026</v>
      </c>
    </row>
    <row r="61" spans="2:20" x14ac:dyDescent="0.25">
      <c r="B61" s="962"/>
      <c r="C61" s="865"/>
      <c r="D61" s="865"/>
      <c r="E61" s="865"/>
      <c r="F61" s="865"/>
      <c r="G61" s="865"/>
      <c r="H61" s="865"/>
      <c r="I61" s="865"/>
      <c r="J61" s="865"/>
      <c r="K61" s="865"/>
    </row>
    <row r="62" spans="2:20" ht="31.5" customHeight="1" x14ac:dyDescent="0.25">
      <c r="B62" s="171"/>
      <c r="C62" s="96"/>
      <c r="D62" s="96"/>
      <c r="E62" s="96"/>
      <c r="F62" s="172"/>
      <c r="G62" s="172"/>
      <c r="H62" s="172"/>
      <c r="I62" s="96"/>
      <c r="J62" s="96"/>
      <c r="K62" s="96"/>
      <c r="L62" t="s">
        <v>459</v>
      </c>
      <c r="T62" s="103"/>
    </row>
    <row r="63" spans="2:20" x14ac:dyDescent="0.25">
      <c r="B63" s="171"/>
      <c r="C63" s="96"/>
      <c r="D63" s="96"/>
      <c r="E63" s="96"/>
      <c r="F63" s="172"/>
      <c r="G63" s="172"/>
      <c r="H63" s="172"/>
      <c r="I63" s="96"/>
      <c r="J63" s="96"/>
      <c r="K63" s="96"/>
      <c r="L63" s="696" t="s">
        <v>1121</v>
      </c>
      <c r="T63" s="103"/>
    </row>
    <row r="64" spans="2:20" x14ac:dyDescent="0.25">
      <c r="B64" s="171"/>
      <c r="C64" s="96"/>
      <c r="D64" s="96"/>
      <c r="E64" s="96"/>
      <c r="F64" s="172"/>
      <c r="G64" s="172"/>
      <c r="H64" s="172"/>
      <c r="I64" s="96"/>
      <c r="J64" s="96"/>
      <c r="K64" s="96"/>
      <c r="P64" s="103"/>
      <c r="T64" s="103"/>
    </row>
    <row r="65" spans="2:20" x14ac:dyDescent="0.25">
      <c r="B65" s="171"/>
      <c r="C65" s="96"/>
      <c r="D65" s="96"/>
      <c r="E65" s="96"/>
      <c r="F65" s="172"/>
      <c r="G65" s="172"/>
      <c r="H65" s="172"/>
      <c r="I65" s="96"/>
      <c r="J65" s="96"/>
      <c r="K65" s="96"/>
      <c r="T65" s="103"/>
    </row>
    <row r="66" spans="2:20" x14ac:dyDescent="0.25">
      <c r="B66" s="172"/>
      <c r="C66" s="172"/>
      <c r="D66" s="172"/>
      <c r="E66" s="172"/>
      <c r="F66" s="172"/>
      <c r="G66" s="172"/>
      <c r="H66" s="172"/>
      <c r="I66" s="96"/>
      <c r="J66" s="96"/>
      <c r="K66" s="96"/>
      <c r="T66" s="103"/>
    </row>
    <row r="67" spans="2:20" x14ac:dyDescent="0.25">
      <c r="B67" s="172"/>
      <c r="C67" s="172"/>
      <c r="D67" s="172"/>
      <c r="E67" s="172"/>
      <c r="F67" s="172"/>
      <c r="G67" s="172"/>
      <c r="H67" s="172"/>
      <c r="I67" s="96"/>
      <c r="J67" s="96"/>
      <c r="K67" s="96"/>
      <c r="T67" s="103"/>
    </row>
    <row r="68" spans="2:20" x14ac:dyDescent="0.25">
      <c r="B68" s="172" t="s">
        <v>454</v>
      </c>
      <c r="C68" s="167" t="s">
        <v>415</v>
      </c>
      <c r="D68" s="167" t="s">
        <v>415</v>
      </c>
      <c r="E68" s="167" t="s">
        <v>415</v>
      </c>
      <c r="F68" s="167" t="s">
        <v>415</v>
      </c>
      <c r="G68" s="167" t="s">
        <v>415</v>
      </c>
      <c r="H68" s="167" t="s">
        <v>415</v>
      </c>
      <c r="I68" s="96" t="e">
        <f>C23</f>
        <v>#REF!</v>
      </c>
      <c r="J68" s="96" t="e">
        <f>D23</f>
        <v>#REF!</v>
      </c>
      <c r="K68" s="96" t="e">
        <f>E23</f>
        <v>#REF!</v>
      </c>
      <c r="M68" s="103" t="e">
        <f>I68-I62-I63-I64-I65-I66-I67</f>
        <v>#REF!</v>
      </c>
      <c r="N68" s="103" t="e">
        <f>J68-J62-J63-J64-J65-J66-J67</f>
        <v>#REF!</v>
      </c>
      <c r="O68" s="103" t="e">
        <f>K68-K62-K63-K64-K65-K66-K67</f>
        <v>#REF!</v>
      </c>
      <c r="Q68" s="103"/>
      <c r="R68" s="103"/>
      <c r="S68" s="103"/>
      <c r="T68" s="103"/>
    </row>
    <row r="70" spans="2:20" s="28" customFormat="1" x14ac:dyDescent="0.25">
      <c r="B70" s="28" t="s">
        <v>460</v>
      </c>
    </row>
    <row r="71" spans="2:20" ht="30" customHeight="1" x14ac:dyDescent="0.25">
      <c r="B71" s="960" t="s">
        <v>29</v>
      </c>
      <c r="C71" s="860" t="s">
        <v>456</v>
      </c>
      <c r="D71" s="860"/>
      <c r="E71" s="860"/>
      <c r="F71" s="860" t="s">
        <v>457</v>
      </c>
      <c r="G71" s="860"/>
      <c r="H71" s="860"/>
      <c r="I71" s="860" t="s">
        <v>458</v>
      </c>
      <c r="J71" s="860"/>
      <c r="K71" s="860"/>
    </row>
    <row r="72" spans="2:20" x14ac:dyDescent="0.25">
      <c r="B72" s="961"/>
      <c r="C72" s="864">
        <f>$C$12</f>
        <v>2024</v>
      </c>
      <c r="D72" s="864">
        <f>$D$12</f>
        <v>2025</v>
      </c>
      <c r="E72" s="864">
        <f>$E$12</f>
        <v>2026</v>
      </c>
      <c r="F72" s="864">
        <f>C72</f>
        <v>2024</v>
      </c>
      <c r="G72" s="864">
        <f>D72</f>
        <v>2025</v>
      </c>
      <c r="H72" s="864">
        <f>E72</f>
        <v>2026</v>
      </c>
      <c r="I72" s="864">
        <f>C72</f>
        <v>2024</v>
      </c>
      <c r="J72" s="864">
        <f>D72</f>
        <v>2025</v>
      </c>
      <c r="K72" s="864">
        <f>E72</f>
        <v>2026</v>
      </c>
    </row>
    <row r="73" spans="2:20" x14ac:dyDescent="0.25">
      <c r="B73" s="962"/>
      <c r="C73" s="865"/>
      <c r="D73" s="865"/>
      <c r="E73" s="865"/>
      <c r="F73" s="865"/>
      <c r="G73" s="865"/>
      <c r="H73" s="865"/>
      <c r="I73" s="865"/>
      <c r="J73" s="865"/>
      <c r="K73" s="865"/>
    </row>
    <row r="74" spans="2:20" x14ac:dyDescent="0.25">
      <c r="B74" s="20"/>
      <c r="C74" s="96"/>
      <c r="D74" s="96"/>
      <c r="E74" s="96"/>
      <c r="F74" s="587"/>
      <c r="G74" s="587"/>
      <c r="H74" s="587"/>
      <c r="I74" s="96"/>
      <c r="J74" s="96"/>
      <c r="K74" s="96"/>
      <c r="L74" t="s">
        <v>461</v>
      </c>
      <c r="P74" s="103"/>
    </row>
    <row r="75" spans="2:20" x14ac:dyDescent="0.25">
      <c r="B75" s="20"/>
      <c r="C75" s="96"/>
      <c r="D75" s="96"/>
      <c r="E75" s="96"/>
      <c r="F75" s="587"/>
      <c r="G75" s="587"/>
      <c r="H75" s="587"/>
      <c r="I75" s="96"/>
      <c r="J75" s="96"/>
      <c r="K75" s="96"/>
    </row>
    <row r="76" spans="2:20" x14ac:dyDescent="0.25">
      <c r="B76" s="172"/>
      <c r="C76" s="96"/>
      <c r="D76" s="96"/>
      <c r="E76" s="96"/>
      <c r="F76" s="96"/>
      <c r="G76" s="96"/>
      <c r="H76" s="96"/>
      <c r="I76" s="96"/>
      <c r="J76" s="96"/>
      <c r="K76" s="96"/>
    </row>
    <row r="77" spans="2:20" x14ac:dyDescent="0.25">
      <c r="B77" s="172"/>
      <c r="C77" s="96"/>
      <c r="D77" s="96"/>
      <c r="E77" s="96"/>
      <c r="F77" s="96"/>
      <c r="G77" s="96"/>
      <c r="H77" s="96"/>
      <c r="I77" s="96"/>
      <c r="J77" s="96"/>
      <c r="K77" s="96"/>
    </row>
    <row r="78" spans="2:20" x14ac:dyDescent="0.25">
      <c r="B78" s="172"/>
      <c r="C78" s="96"/>
      <c r="D78" s="96"/>
      <c r="E78" s="96"/>
      <c r="F78" s="96"/>
      <c r="G78" s="96"/>
      <c r="H78" s="96"/>
      <c r="I78" s="96"/>
      <c r="J78" s="96"/>
      <c r="K78" s="96"/>
    </row>
    <row r="79" spans="2:20" x14ac:dyDescent="0.25">
      <c r="B79" s="172"/>
      <c r="C79" s="96"/>
      <c r="D79" s="96"/>
      <c r="E79" s="96"/>
      <c r="F79" s="96"/>
      <c r="G79" s="96"/>
      <c r="H79" s="96"/>
      <c r="I79" s="96"/>
      <c r="J79" s="96"/>
      <c r="K79" s="96"/>
    </row>
    <row r="80" spans="2:20" x14ac:dyDescent="0.25">
      <c r="B80" s="172" t="s">
        <v>454</v>
      </c>
      <c r="C80" s="167" t="s">
        <v>415</v>
      </c>
      <c r="D80" s="167" t="s">
        <v>415</v>
      </c>
      <c r="E80" s="167" t="s">
        <v>415</v>
      </c>
      <c r="F80" s="167" t="s">
        <v>415</v>
      </c>
      <c r="G80" s="167" t="s">
        <v>415</v>
      </c>
      <c r="H80" s="167" t="s">
        <v>415</v>
      </c>
      <c r="I80" s="96">
        <f>C24</f>
        <v>741000</v>
      </c>
      <c r="J80" s="96">
        <f>D24</f>
        <v>677200</v>
      </c>
      <c r="K80" s="96">
        <f>E24</f>
        <v>677200</v>
      </c>
      <c r="M80" s="103">
        <f>I80-I74-I75-I76-I77-I78-I79</f>
        <v>741000</v>
      </c>
      <c r="N80" s="103">
        <f>J80-J74-J75-J76-J77-J78-J79</f>
        <v>677200</v>
      </c>
      <c r="O80" s="103">
        <f>K80-K74-K75-K76-K77-K78-K79</f>
        <v>677200</v>
      </c>
      <c r="Q80" s="103"/>
      <c r="R80" s="103"/>
      <c r="S80" s="103"/>
    </row>
    <row r="82" spans="2:15" x14ac:dyDescent="0.25">
      <c r="B82" s="28" t="s">
        <v>462</v>
      </c>
    </row>
    <row r="83" spans="2:15" x14ac:dyDescent="0.25">
      <c r="B83" s="960" t="s">
        <v>29</v>
      </c>
      <c r="C83" s="860" t="s">
        <v>458</v>
      </c>
      <c r="D83" s="860"/>
      <c r="E83" s="860"/>
    </row>
    <row r="84" spans="2:15" x14ac:dyDescent="0.25">
      <c r="B84" s="961"/>
      <c r="C84" s="864">
        <f>$C$12</f>
        <v>2024</v>
      </c>
      <c r="D84" s="864">
        <f>$D$12</f>
        <v>2025</v>
      </c>
      <c r="E84" s="864">
        <f>$E$12</f>
        <v>2026</v>
      </c>
    </row>
    <row r="85" spans="2:15" x14ac:dyDescent="0.25">
      <c r="B85" s="962"/>
      <c r="C85" s="865"/>
      <c r="D85" s="865"/>
      <c r="E85" s="865"/>
    </row>
    <row r="86" spans="2:15" x14ac:dyDescent="0.25">
      <c r="B86" s="172"/>
      <c r="C86" s="96"/>
      <c r="D86" s="96"/>
      <c r="E86" s="96"/>
      <c r="L86" t="s">
        <v>463</v>
      </c>
    </row>
    <row r="87" spans="2:15" x14ac:dyDescent="0.25">
      <c r="B87" s="171"/>
      <c r="C87" s="22"/>
      <c r="D87" s="22"/>
      <c r="E87" s="22"/>
      <c r="M87" s="103"/>
    </row>
    <row r="88" spans="2:15" x14ac:dyDescent="0.25">
      <c r="B88" s="172"/>
      <c r="C88" s="96"/>
      <c r="D88" s="96"/>
      <c r="E88" s="96"/>
      <c r="M88" s="103"/>
    </row>
    <row r="89" spans="2:15" x14ac:dyDescent="0.25">
      <c r="B89" s="172"/>
      <c r="C89" s="96"/>
      <c r="D89" s="96"/>
      <c r="E89" s="96"/>
    </row>
    <row r="90" spans="2:15" x14ac:dyDescent="0.25">
      <c r="B90" s="172"/>
      <c r="C90" s="96"/>
      <c r="D90" s="96"/>
      <c r="E90" s="96"/>
    </row>
    <row r="91" spans="2:15" x14ac:dyDescent="0.25">
      <c r="B91" s="172"/>
      <c r="C91" s="96"/>
      <c r="D91" s="96"/>
      <c r="E91" s="96"/>
    </row>
    <row r="92" spans="2:15" x14ac:dyDescent="0.25">
      <c r="B92" s="172" t="s">
        <v>454</v>
      </c>
      <c r="C92" s="96">
        <f>SUM(C86:C91)</f>
        <v>0</v>
      </c>
      <c r="D92" s="96">
        <f>SUM(D86:D91)</f>
        <v>0</v>
      </c>
      <c r="E92" s="96">
        <f>SUM(E86:E91)</f>
        <v>0</v>
      </c>
      <c r="M92" s="103">
        <f>'Утверждено (ПДД)'!E53</f>
        <v>0</v>
      </c>
      <c r="N92" s="103">
        <f>'Утверждено (ПДД)'!F53</f>
        <v>0</v>
      </c>
      <c r="O92" s="103">
        <f>'Утверждено (ПДД)'!G53</f>
        <v>0</v>
      </c>
    </row>
    <row r="93" spans="2:15" x14ac:dyDescent="0.25">
      <c r="M93" s="103">
        <f>M92-C92</f>
        <v>0</v>
      </c>
      <c r="N93" s="103">
        <f>N92-D92</f>
        <v>0</v>
      </c>
      <c r="O93" s="103">
        <f>O92-E92</f>
        <v>0</v>
      </c>
    </row>
    <row r="94" spans="2:15" x14ac:dyDescent="0.25">
      <c r="B94" s="28" t="s">
        <v>464</v>
      </c>
    </row>
    <row r="95" spans="2:15" x14ac:dyDescent="0.25">
      <c r="B95" s="960" t="s">
        <v>29</v>
      </c>
      <c r="C95" s="860" t="s">
        <v>458</v>
      </c>
      <c r="D95" s="860"/>
      <c r="E95" s="860"/>
    </row>
    <row r="96" spans="2:15" x14ac:dyDescent="0.25">
      <c r="B96" s="961"/>
      <c r="C96" s="864">
        <f>$C$12</f>
        <v>2024</v>
      </c>
      <c r="D96" s="864">
        <f>$D$12</f>
        <v>2025</v>
      </c>
      <c r="E96" s="864">
        <f>$E$12</f>
        <v>2026</v>
      </c>
    </row>
    <row r="97" spans="2:12" x14ac:dyDescent="0.25">
      <c r="B97" s="962"/>
      <c r="C97" s="865"/>
      <c r="D97" s="865"/>
      <c r="E97" s="865"/>
    </row>
    <row r="98" spans="2:12" x14ac:dyDescent="0.25">
      <c r="B98" s="172" t="s">
        <v>465</v>
      </c>
      <c r="C98" s="172"/>
      <c r="D98" s="172"/>
      <c r="E98" s="172"/>
    </row>
    <row r="99" spans="2:12" ht="27.6" x14ac:dyDescent="0.25">
      <c r="B99" s="171" t="s">
        <v>466</v>
      </c>
      <c r="C99" s="172"/>
      <c r="D99" s="172"/>
      <c r="E99" s="172"/>
    </row>
    <row r="100" spans="2:12" x14ac:dyDescent="0.25">
      <c r="B100" s="172" t="s">
        <v>467</v>
      </c>
      <c r="C100" s="172"/>
      <c r="D100" s="172"/>
      <c r="E100" s="172"/>
    </row>
    <row r="101" spans="2:12" x14ac:dyDescent="0.25">
      <c r="B101" s="172"/>
      <c r="C101" s="172"/>
      <c r="D101" s="172"/>
      <c r="E101" s="172"/>
    </row>
    <row r="102" spans="2:12" x14ac:dyDescent="0.25">
      <c r="B102" s="172"/>
      <c r="C102" s="172"/>
      <c r="D102" s="172"/>
      <c r="E102" s="172"/>
    </row>
    <row r="103" spans="2:12" x14ac:dyDescent="0.25">
      <c r="B103" s="172"/>
      <c r="C103" s="172"/>
      <c r="D103" s="172"/>
      <c r="E103" s="172"/>
    </row>
    <row r="104" spans="2:12" x14ac:dyDescent="0.25">
      <c r="B104" s="172" t="s">
        <v>454</v>
      </c>
      <c r="C104" s="96">
        <f>SUM(C98:C103)</f>
        <v>0</v>
      </c>
      <c r="D104" s="96">
        <f>SUM(D98:D103)</f>
        <v>0</v>
      </c>
      <c r="E104" s="96">
        <f>SUM(E98:E103)</f>
        <v>0</v>
      </c>
    </row>
    <row r="105" spans="2:12" x14ac:dyDescent="0.25">
      <c r="B105" s="28" t="s">
        <v>468</v>
      </c>
    </row>
    <row r="106" spans="2:12" x14ac:dyDescent="0.25">
      <c r="B106" s="960" t="s">
        <v>29</v>
      </c>
      <c r="C106" s="860" t="s">
        <v>458</v>
      </c>
      <c r="D106" s="860"/>
      <c r="E106" s="860"/>
    </row>
    <row r="107" spans="2:12" x14ac:dyDescent="0.25">
      <c r="B107" s="961"/>
      <c r="C107" s="864">
        <f>$C$12</f>
        <v>2024</v>
      </c>
      <c r="D107" s="864">
        <f>$D$12</f>
        <v>2025</v>
      </c>
      <c r="E107" s="864">
        <f>$E$12</f>
        <v>2026</v>
      </c>
    </row>
    <row r="108" spans="2:12" x14ac:dyDescent="0.25">
      <c r="B108" s="962"/>
      <c r="C108" s="865"/>
      <c r="D108" s="865"/>
      <c r="E108" s="865"/>
    </row>
    <row r="109" spans="2:12" x14ac:dyDescent="0.25">
      <c r="B109" s="172"/>
      <c r="C109" s="172"/>
      <c r="D109" s="172"/>
      <c r="E109" s="172"/>
      <c r="L109" t="s">
        <v>469</v>
      </c>
    </row>
    <row r="110" spans="2:12" x14ac:dyDescent="0.25">
      <c r="B110" s="171"/>
      <c r="C110" s="172"/>
      <c r="D110" s="172"/>
      <c r="E110" s="172"/>
    </row>
    <row r="111" spans="2:12" x14ac:dyDescent="0.25">
      <c r="B111" s="172"/>
      <c r="C111" s="172"/>
      <c r="D111" s="172"/>
      <c r="E111" s="172"/>
    </row>
    <row r="112" spans="2:12" x14ac:dyDescent="0.25">
      <c r="B112" s="172"/>
      <c r="C112" s="172"/>
      <c r="D112" s="172"/>
      <c r="E112" s="172"/>
    </row>
    <row r="113" spans="2:15" x14ac:dyDescent="0.25">
      <c r="B113" s="172"/>
      <c r="C113" s="172"/>
      <c r="D113" s="172"/>
      <c r="E113" s="172"/>
    </row>
    <row r="114" spans="2:15" x14ac:dyDescent="0.25">
      <c r="B114" s="172"/>
      <c r="C114" s="172"/>
      <c r="D114" s="172"/>
      <c r="E114" s="172"/>
    </row>
    <row r="115" spans="2:15" x14ac:dyDescent="0.25">
      <c r="B115" s="172" t="s">
        <v>454</v>
      </c>
      <c r="C115" s="96">
        <f>SUM(C109:C114)</f>
        <v>0</v>
      </c>
      <c r="D115" s="96">
        <f>SUM(D109:D114)</f>
        <v>0</v>
      </c>
      <c r="E115" s="96">
        <f>SUM(E109:E114)</f>
        <v>0</v>
      </c>
    </row>
    <row r="117" spans="2:15" x14ac:dyDescent="0.25">
      <c r="B117" s="28" t="s">
        <v>470</v>
      </c>
    </row>
    <row r="118" spans="2:15" x14ac:dyDescent="0.25">
      <c r="B118" s="960" t="s">
        <v>29</v>
      </c>
      <c r="C118" s="860" t="s">
        <v>458</v>
      </c>
      <c r="D118" s="860"/>
      <c r="E118" s="860"/>
    </row>
    <row r="119" spans="2:15" x14ac:dyDescent="0.25">
      <c r="B119" s="961"/>
      <c r="C119" s="864">
        <f>$C$12</f>
        <v>2024</v>
      </c>
      <c r="D119" s="864">
        <f>$D$12</f>
        <v>2025</v>
      </c>
      <c r="E119" s="864">
        <f>$E$12</f>
        <v>2026</v>
      </c>
    </row>
    <row r="120" spans="2:15" x14ac:dyDescent="0.25">
      <c r="B120" s="962"/>
      <c r="C120" s="865"/>
      <c r="D120" s="865"/>
      <c r="E120" s="865"/>
    </row>
    <row r="121" spans="2:15" x14ac:dyDescent="0.25">
      <c r="B121" s="168" t="s">
        <v>471</v>
      </c>
      <c r="C121" s="96">
        <f>C40</f>
        <v>0</v>
      </c>
      <c r="D121" s="96">
        <f>D40</f>
        <v>0</v>
      </c>
      <c r="E121" s="96">
        <f>E40</f>
        <v>0</v>
      </c>
    </row>
    <row r="122" spans="2:15" x14ac:dyDescent="0.25">
      <c r="B122" s="170" t="s">
        <v>472</v>
      </c>
      <c r="C122" s="172"/>
      <c r="D122" s="172"/>
      <c r="E122" s="172"/>
    </row>
    <row r="123" spans="2:15" x14ac:dyDescent="0.25">
      <c r="B123" s="170" t="s">
        <v>473</v>
      </c>
      <c r="C123" s="172"/>
      <c r="D123" s="172"/>
      <c r="E123" s="172"/>
    </row>
    <row r="124" spans="2:15" x14ac:dyDescent="0.25">
      <c r="B124" s="172"/>
      <c r="C124" s="172"/>
      <c r="D124" s="172"/>
      <c r="E124" s="172"/>
    </row>
    <row r="125" spans="2:15" x14ac:dyDescent="0.25">
      <c r="B125" s="172"/>
      <c r="C125" s="172"/>
      <c r="D125" s="172"/>
      <c r="E125" s="172"/>
    </row>
    <row r="126" spans="2:15" x14ac:dyDescent="0.25">
      <c r="B126" s="172"/>
      <c r="C126" s="172"/>
      <c r="D126" s="172"/>
      <c r="E126" s="172"/>
    </row>
    <row r="127" spans="2:15" x14ac:dyDescent="0.25">
      <c r="B127" s="172" t="s">
        <v>454</v>
      </c>
      <c r="C127" s="96">
        <f>SUM(C121:C126)</f>
        <v>0</v>
      </c>
      <c r="D127" s="96">
        <f>SUM(D121:D126)</f>
        <v>0</v>
      </c>
      <c r="E127" s="96">
        <f>SUM(E121:E126)</f>
        <v>0</v>
      </c>
      <c r="M127" s="103">
        <f>C127-C39</f>
        <v>0</v>
      </c>
      <c r="N127" s="103">
        <f>D127-D39</f>
        <v>0</v>
      </c>
      <c r="O127" s="103">
        <f>E127-E39</f>
        <v>0</v>
      </c>
    </row>
  </sheetData>
  <mergeCells count="69">
    <mergeCell ref="B118:B120"/>
    <mergeCell ref="C118:E118"/>
    <mergeCell ref="C119:C120"/>
    <mergeCell ref="D119:D120"/>
    <mergeCell ref="E119:E120"/>
    <mergeCell ref="B95:B97"/>
    <mergeCell ref="C95:E95"/>
    <mergeCell ref="C96:C97"/>
    <mergeCell ref="D96:D97"/>
    <mergeCell ref="E96:E97"/>
    <mergeCell ref="B106:B108"/>
    <mergeCell ref="C106:E106"/>
    <mergeCell ref="C107:C108"/>
    <mergeCell ref="D107:D108"/>
    <mergeCell ref="E107:E108"/>
    <mergeCell ref="I72:I73"/>
    <mergeCell ref="J72:J73"/>
    <mergeCell ref="K72:K73"/>
    <mergeCell ref="B83:B85"/>
    <mergeCell ref="C83:E83"/>
    <mergeCell ref="C84:C85"/>
    <mergeCell ref="D84:D85"/>
    <mergeCell ref="E84:E85"/>
    <mergeCell ref="B71:B73"/>
    <mergeCell ref="C71:E71"/>
    <mergeCell ref="F71:H71"/>
    <mergeCell ref="I71:K71"/>
    <mergeCell ref="C72:C73"/>
    <mergeCell ref="D72:D73"/>
    <mergeCell ref="E72:E73"/>
    <mergeCell ref="F72:F73"/>
    <mergeCell ref="G72:G73"/>
    <mergeCell ref="H72:H73"/>
    <mergeCell ref="F60:F61"/>
    <mergeCell ref="G60:G61"/>
    <mergeCell ref="H60:H61"/>
    <mergeCell ref="B59:B61"/>
    <mergeCell ref="C59:E59"/>
    <mergeCell ref="F59:H59"/>
    <mergeCell ref="I59:K59"/>
    <mergeCell ref="C60:C61"/>
    <mergeCell ref="D60:D61"/>
    <mergeCell ref="E60:E61"/>
    <mergeCell ref="I60:I61"/>
    <mergeCell ref="J60:J61"/>
    <mergeCell ref="K60:K61"/>
    <mergeCell ref="B48:B50"/>
    <mergeCell ref="C48:E48"/>
    <mergeCell ref="F48:H48"/>
    <mergeCell ref="I48:K48"/>
    <mergeCell ref="C49:C50"/>
    <mergeCell ref="D49:D50"/>
    <mergeCell ref="E49:E50"/>
    <mergeCell ref="F49:F50"/>
    <mergeCell ref="G49:G50"/>
    <mergeCell ref="H49:H50"/>
    <mergeCell ref="I49:I50"/>
    <mergeCell ref="J49:J50"/>
    <mergeCell ref="K49:K50"/>
    <mergeCell ref="I1:K1"/>
    <mergeCell ref="C3:H3"/>
    <mergeCell ref="B4:H4"/>
    <mergeCell ref="B6:F6"/>
    <mergeCell ref="B7:F7"/>
    <mergeCell ref="B11:B13"/>
    <mergeCell ref="C11:E11"/>
    <mergeCell ref="C12:C13"/>
    <mergeCell ref="D12:D13"/>
    <mergeCell ref="E12:E13"/>
  </mergeCells>
  <pageMargins left="0.19685039370078741" right="0.19685039370078741" top="0.19685039370078741" bottom="0.19685039370078741" header="0" footer="0"/>
  <pageSetup paperSize="9" scale="74" fitToHeight="0" orientation="landscape" r:id="rId1"/>
  <rowBreaks count="1" manualBreakCount="1">
    <brk id="116"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tabColor rgb="FFCCFFCC"/>
    <pageSetUpPr fitToPage="1"/>
  </sheetPr>
  <dimension ref="B1:T164"/>
  <sheetViews>
    <sheetView view="pageBreakPreview" zoomScale="80" zoomScaleNormal="100" zoomScaleSheetLayoutView="80" workbookViewId="0">
      <selection activeCell="B25" sqref="B25:B28"/>
    </sheetView>
  </sheetViews>
  <sheetFormatPr defaultRowHeight="13.8" x14ac:dyDescent="0.25"/>
  <cols>
    <col min="1" max="1" width="3.6640625" customWidth="1"/>
    <col min="2" max="2" width="33.5546875" customWidth="1"/>
    <col min="3" max="3" width="21.33203125" customWidth="1"/>
    <col min="4" max="9" width="15.88671875" customWidth="1"/>
    <col min="10" max="10" width="18" customWidth="1"/>
    <col min="11" max="12" width="15.88671875" customWidth="1"/>
    <col min="13" max="13" width="17.109375" customWidth="1"/>
    <col min="14" max="14" width="16.33203125" customWidth="1"/>
    <col min="15" max="15" width="15.88671875" customWidth="1"/>
    <col min="16" max="16" width="15" bestFit="1" customWidth="1"/>
    <col min="17" max="17" width="14.88671875" customWidth="1"/>
    <col min="18" max="18" width="15.6640625" customWidth="1"/>
    <col min="19" max="19" width="11" customWidth="1"/>
  </cols>
  <sheetData>
    <row r="1" spans="2:17" ht="30" customHeight="1" x14ac:dyDescent="0.25">
      <c r="L1" s="957" t="s">
        <v>817</v>
      </c>
      <c r="M1" s="957"/>
      <c r="N1" s="957"/>
    </row>
    <row r="2" spans="2:17" x14ac:dyDescent="0.25">
      <c r="L2" s="153" t="s">
        <v>11</v>
      </c>
      <c r="M2" s="152" t="str">
        <f>Форма!C33</f>
        <v>« 24 » октября 2024 г.</v>
      </c>
    </row>
    <row r="3" spans="2:17" x14ac:dyDescent="0.25">
      <c r="B3" s="906" t="s">
        <v>25</v>
      </c>
      <c r="C3" s="906"/>
      <c r="D3" s="906" t="str">
        <f>Форма!C42</f>
        <v>Муниципальное  автономное дошкольное образовательное</v>
      </c>
      <c r="E3" s="906"/>
      <c r="F3" s="906"/>
      <c r="G3" s="906"/>
      <c r="H3" s="906"/>
      <c r="I3" s="906"/>
      <c r="J3" s="3"/>
      <c r="K3" s="3"/>
      <c r="L3" s="3"/>
    </row>
    <row r="4" spans="2:17" x14ac:dyDescent="0.25">
      <c r="C4" s="906" t="str">
        <f>Форма!B43</f>
        <v xml:space="preserve">                 учреждение № 169 "Детский сад комбинированного вида"</v>
      </c>
      <c r="D4" s="906"/>
      <c r="E4" s="906"/>
      <c r="F4" s="906"/>
      <c r="G4" s="906"/>
      <c r="H4" s="906"/>
      <c r="I4" s="906"/>
      <c r="J4" s="3"/>
      <c r="K4" s="3"/>
      <c r="L4" s="3"/>
    </row>
    <row r="6" spans="2:17" ht="30" customHeight="1" x14ac:dyDescent="0.25">
      <c r="C6" s="959" t="s">
        <v>474</v>
      </c>
      <c r="D6" s="959"/>
      <c r="E6" s="959"/>
      <c r="F6" s="959"/>
      <c r="G6" s="959"/>
      <c r="H6" s="959"/>
      <c r="I6" s="959"/>
    </row>
    <row r="7" spans="2:17" x14ac:dyDescent="0.25">
      <c r="C7" s="963" t="str">
        <f>Форма!B28</f>
        <v>на 2024 г. и плановый период 2025 и 2026 годов</v>
      </c>
      <c r="D7" s="963"/>
      <c r="E7" s="963"/>
      <c r="F7" s="963"/>
      <c r="G7" s="963"/>
      <c r="H7" s="963"/>
      <c r="I7" s="963"/>
    </row>
    <row r="9" spans="2:17" x14ac:dyDescent="0.25">
      <c r="B9" s="6" t="s">
        <v>27</v>
      </c>
    </row>
    <row r="11" spans="2:17" ht="15" customHeight="1" x14ac:dyDescent="0.25">
      <c r="B11" s="960" t="s">
        <v>29</v>
      </c>
      <c r="C11" s="949" t="s">
        <v>475</v>
      </c>
      <c r="D11" s="949"/>
      <c r="E11" s="949"/>
      <c r="F11" s="949"/>
      <c r="G11" s="949"/>
      <c r="H11" s="949"/>
      <c r="I11" s="949"/>
      <c r="J11" s="949"/>
      <c r="K11" s="949"/>
      <c r="L11" s="949"/>
      <c r="M11" s="949"/>
      <c r="N11" s="949"/>
    </row>
    <row r="12" spans="2:17" x14ac:dyDescent="0.25">
      <c r="B12" s="961"/>
      <c r="C12" s="967" t="s">
        <v>393</v>
      </c>
      <c r="D12" s="874"/>
      <c r="E12" s="968"/>
      <c r="F12" s="974" t="s">
        <v>394</v>
      </c>
      <c r="G12" s="975"/>
      <c r="H12" s="975"/>
      <c r="I12" s="975"/>
      <c r="J12" s="975"/>
      <c r="K12" s="975"/>
      <c r="L12" s="975"/>
      <c r="M12" s="975"/>
      <c r="N12" s="976"/>
    </row>
    <row r="13" spans="2:17" x14ac:dyDescent="0.25">
      <c r="B13" s="961"/>
      <c r="C13" s="969"/>
      <c r="D13" s="970"/>
      <c r="E13" s="971"/>
      <c r="F13" s="866" t="s">
        <v>476</v>
      </c>
      <c r="G13" s="867"/>
      <c r="H13" s="867"/>
      <c r="I13" s="867"/>
      <c r="J13" s="867"/>
      <c r="K13" s="868"/>
      <c r="L13" s="977" t="s">
        <v>477</v>
      </c>
      <c r="M13" s="978"/>
      <c r="N13" s="979"/>
    </row>
    <row r="14" spans="2:17" ht="30" customHeight="1" x14ac:dyDescent="0.25">
      <c r="B14" s="961"/>
      <c r="C14" s="972"/>
      <c r="D14" s="847"/>
      <c r="E14" s="973"/>
      <c r="F14" s="866" t="s">
        <v>478</v>
      </c>
      <c r="G14" s="867"/>
      <c r="H14" s="868"/>
      <c r="I14" s="982" t="s">
        <v>479</v>
      </c>
      <c r="J14" s="983"/>
      <c r="K14" s="984"/>
      <c r="L14" s="980"/>
      <c r="M14" s="890"/>
      <c r="N14" s="981"/>
    </row>
    <row r="15" spans="2:17" ht="30" customHeight="1" x14ac:dyDescent="0.25">
      <c r="B15" s="961"/>
      <c r="C15" s="860">
        <f>Форма!R1</f>
        <v>2024</v>
      </c>
      <c r="D15" s="860">
        <f>Форма!R2</f>
        <v>2025</v>
      </c>
      <c r="E15" s="860">
        <f>Форма!R3</f>
        <v>2026</v>
      </c>
      <c r="F15" s="860">
        <f t="shared" ref="F15:K15" si="0">C15</f>
        <v>2024</v>
      </c>
      <c r="G15" s="860">
        <f t="shared" si="0"/>
        <v>2025</v>
      </c>
      <c r="H15" s="860">
        <f t="shared" si="0"/>
        <v>2026</v>
      </c>
      <c r="I15" s="860">
        <f t="shared" si="0"/>
        <v>2024</v>
      </c>
      <c r="J15" s="860">
        <f t="shared" si="0"/>
        <v>2025</v>
      </c>
      <c r="K15" s="860">
        <f t="shared" si="0"/>
        <v>2026</v>
      </c>
      <c r="L15" s="860">
        <f>C15</f>
        <v>2024</v>
      </c>
      <c r="M15" s="860">
        <f>D15</f>
        <v>2025</v>
      </c>
      <c r="N15" s="860">
        <f>E15</f>
        <v>2026</v>
      </c>
      <c r="Q15" s="103"/>
    </row>
    <row r="16" spans="2:17" ht="30" customHeight="1" x14ac:dyDescent="0.25">
      <c r="B16" s="962"/>
      <c r="C16" s="860"/>
      <c r="D16" s="860"/>
      <c r="E16" s="860"/>
      <c r="F16" s="860"/>
      <c r="G16" s="860"/>
      <c r="H16" s="860"/>
      <c r="I16" s="860"/>
      <c r="J16" s="860"/>
      <c r="K16" s="860"/>
      <c r="L16" s="860"/>
      <c r="M16" s="860"/>
      <c r="N16" s="860"/>
      <c r="Q16" s="103"/>
    </row>
    <row r="17" spans="2:19" x14ac:dyDescent="0.25">
      <c r="B17" s="173">
        <v>1</v>
      </c>
      <c r="C17" s="174">
        <f>B17+1</f>
        <v>2</v>
      </c>
      <c r="D17" s="174">
        <f>C17+1</f>
        <v>3</v>
      </c>
      <c r="E17" s="174">
        <f t="shared" ref="E17:N17" si="1">D17+1</f>
        <v>4</v>
      </c>
      <c r="F17" s="174">
        <f t="shared" si="1"/>
        <v>5</v>
      </c>
      <c r="G17" s="174">
        <f t="shared" si="1"/>
        <v>6</v>
      </c>
      <c r="H17" s="174">
        <f t="shared" si="1"/>
        <v>7</v>
      </c>
      <c r="I17" s="174">
        <f t="shared" si="1"/>
        <v>8</v>
      </c>
      <c r="J17" s="174">
        <f t="shared" si="1"/>
        <v>9</v>
      </c>
      <c r="K17" s="174">
        <f t="shared" si="1"/>
        <v>10</v>
      </c>
      <c r="L17" s="174">
        <f t="shared" si="1"/>
        <v>11</v>
      </c>
      <c r="M17" s="174">
        <f t="shared" si="1"/>
        <v>12</v>
      </c>
      <c r="N17" s="174">
        <f t="shared" si="1"/>
        <v>13</v>
      </c>
    </row>
    <row r="18" spans="2:19" ht="30" customHeight="1" x14ac:dyDescent="0.25">
      <c r="B18" s="175" t="s">
        <v>480</v>
      </c>
      <c r="C18" s="96" t="e">
        <f>F18+I18+L18</f>
        <v>#REF!</v>
      </c>
      <c r="D18" s="96" t="e">
        <f t="shared" ref="D18:E21" si="2">G18+J18+M18</f>
        <v>#REF!</v>
      </c>
      <c r="E18" s="96" t="e">
        <f t="shared" si="2"/>
        <v>#REF!</v>
      </c>
      <c r="F18" s="96" t="e">
        <f>#REF!</f>
        <v>#REF!</v>
      </c>
      <c r="G18" s="96" t="e">
        <f>#REF!</f>
        <v>#REF!</v>
      </c>
      <c r="H18" s="96" t="e">
        <f>#REF!</f>
        <v>#REF!</v>
      </c>
      <c r="I18" s="96" t="e">
        <f>#REF!</f>
        <v>#REF!</v>
      </c>
      <c r="J18" s="96" t="e">
        <f>#REF!</f>
        <v>#REF!</v>
      </c>
      <c r="K18" s="96" t="e">
        <f>#REF!</f>
        <v>#REF!</v>
      </c>
      <c r="L18" s="96" t="e">
        <f>#REF!</f>
        <v>#REF!</v>
      </c>
      <c r="M18" s="96" t="e">
        <f>#REF!</f>
        <v>#REF!</v>
      </c>
      <c r="N18" s="96" t="e">
        <f>#REF!</f>
        <v>#REF!</v>
      </c>
      <c r="O18" s="103"/>
      <c r="P18" s="132" t="e">
        <f>C18-#REF!-#REF!-#REF!</f>
        <v>#REF!</v>
      </c>
      <c r="Q18" s="132" t="e">
        <f>D18-#REF!-#REF!-#REF!</f>
        <v>#REF!</v>
      </c>
      <c r="R18" s="132" t="e">
        <f>E18-#REF!-#REF!-#REF!</f>
        <v>#REF!</v>
      </c>
    </row>
    <row r="19" spans="2:19" ht="30" customHeight="1" x14ac:dyDescent="0.25">
      <c r="B19" s="175" t="s">
        <v>481</v>
      </c>
      <c r="C19" s="96">
        <f>F19+I19+L19</f>
        <v>504664.64</v>
      </c>
      <c r="D19" s="96">
        <f t="shared" si="2"/>
        <v>405320</v>
      </c>
      <c r="E19" s="96">
        <f t="shared" si="2"/>
        <v>405320</v>
      </c>
      <c r="F19" s="96">
        <f>'Утверждено (ПДД)'!E81</f>
        <v>389628.52</v>
      </c>
      <c r="G19" s="96">
        <f>'Утверждено (ПДД)'!F81</f>
        <v>311074</v>
      </c>
      <c r="H19" s="96">
        <f>'Утверждено (ПДД)'!G81</f>
        <v>311074</v>
      </c>
      <c r="I19" s="96"/>
      <c r="J19" s="96"/>
      <c r="K19" s="96"/>
      <c r="L19" s="96">
        <f>'Утверждено (ПДД)'!E86</f>
        <v>115036.12</v>
      </c>
      <c r="M19" s="96">
        <f>'Утверждено (ПДД)'!F86</f>
        <v>94246</v>
      </c>
      <c r="N19" s="96">
        <f>'Утверждено (ПДД)'!G86</f>
        <v>94246</v>
      </c>
      <c r="P19" s="132">
        <f>C19-'Утверждено (ПДД)'!E981-'Утверждено (ПДД)'!E986</f>
        <v>504664.64</v>
      </c>
      <c r="Q19" s="132">
        <f>D19-'Утверждено (ПДД)'!F981-'Утверждено (ПДД)'!F986</f>
        <v>405320</v>
      </c>
      <c r="R19" s="132">
        <f>E19-'Утверждено (ПДД)'!G981-'Утверждено (ПДД)'!G986</f>
        <v>405320</v>
      </c>
    </row>
    <row r="20" spans="2:19" x14ac:dyDescent="0.25">
      <c r="B20" s="175" t="s">
        <v>482</v>
      </c>
      <c r="C20" s="96">
        <f>F20+I20+L20</f>
        <v>0</v>
      </c>
      <c r="D20" s="96">
        <f t="shared" si="2"/>
        <v>0</v>
      </c>
      <c r="E20" s="96">
        <f t="shared" si="2"/>
        <v>0</v>
      </c>
      <c r="F20" s="96"/>
      <c r="G20" s="96"/>
      <c r="H20" s="96"/>
      <c r="I20" s="96"/>
      <c r="J20" s="96"/>
      <c r="K20" s="96"/>
      <c r="L20" s="96"/>
      <c r="M20" s="96"/>
      <c r="N20" s="96"/>
    </row>
    <row r="21" spans="2:19" x14ac:dyDescent="0.25">
      <c r="B21" s="145" t="s">
        <v>454</v>
      </c>
      <c r="C21" s="96" t="e">
        <f>F21+I21+L21</f>
        <v>#REF!</v>
      </c>
      <c r="D21" s="96" t="e">
        <f t="shared" si="2"/>
        <v>#REF!</v>
      </c>
      <c r="E21" s="96" t="e">
        <f t="shared" si="2"/>
        <v>#REF!</v>
      </c>
      <c r="F21" s="96" t="e">
        <f>SUM(F18:F20)</f>
        <v>#REF!</v>
      </c>
      <c r="G21" s="96" t="e">
        <f t="shared" ref="G21:N21" si="3">SUM(G18:G20)</f>
        <v>#REF!</v>
      </c>
      <c r="H21" s="96" t="e">
        <f t="shared" si="3"/>
        <v>#REF!</v>
      </c>
      <c r="I21" s="96" t="e">
        <f t="shared" si="3"/>
        <v>#REF!</v>
      </c>
      <c r="J21" s="96" t="e">
        <f t="shared" si="3"/>
        <v>#REF!</v>
      </c>
      <c r="K21" s="96" t="e">
        <f t="shared" si="3"/>
        <v>#REF!</v>
      </c>
      <c r="L21" s="96" t="e">
        <f t="shared" si="3"/>
        <v>#REF!</v>
      </c>
      <c r="M21" s="96" t="e">
        <f t="shared" si="3"/>
        <v>#REF!</v>
      </c>
      <c r="N21" s="96" t="e">
        <f t="shared" si="3"/>
        <v>#REF!</v>
      </c>
    </row>
    <row r="24" spans="2:19" x14ac:dyDescent="0.25">
      <c r="C24" s="176" t="s">
        <v>483</v>
      </c>
      <c r="D24" s="28">
        <f>C15</f>
        <v>2024</v>
      </c>
      <c r="E24" s="28"/>
      <c r="G24" s="177" t="str">
        <f>B18</f>
        <v xml:space="preserve">Субсидии на финансовое обеспечение выполнения муниципального задания </v>
      </c>
      <c r="O24" t="s">
        <v>484</v>
      </c>
    </row>
    <row r="25" spans="2:19" x14ac:dyDescent="0.25">
      <c r="B25" s="966" t="s">
        <v>485</v>
      </c>
      <c r="C25" s="966" t="s">
        <v>486</v>
      </c>
      <c r="D25" s="966" t="s">
        <v>487</v>
      </c>
      <c r="E25" s="966"/>
      <c r="F25" s="966"/>
      <c r="G25" s="966"/>
      <c r="H25" s="966"/>
      <c r="I25" s="966"/>
      <c r="J25" s="966" t="s">
        <v>488</v>
      </c>
      <c r="K25" s="966" t="s">
        <v>489</v>
      </c>
    </row>
    <row r="26" spans="2:19" x14ac:dyDescent="0.25">
      <c r="B26" s="966"/>
      <c r="C26" s="966"/>
      <c r="D26" s="966" t="s">
        <v>393</v>
      </c>
      <c r="E26" s="966" t="s">
        <v>490</v>
      </c>
      <c r="F26" s="966"/>
      <c r="G26" s="966"/>
      <c r="H26" s="966"/>
      <c r="I26" s="966"/>
      <c r="J26" s="966"/>
      <c r="K26" s="966"/>
    </row>
    <row r="27" spans="2:19" ht="29.25" customHeight="1" x14ac:dyDescent="0.25">
      <c r="B27" s="966"/>
      <c r="C27" s="966"/>
      <c r="D27" s="966"/>
      <c r="E27" s="966" t="s">
        <v>491</v>
      </c>
      <c r="F27" s="966" t="s">
        <v>492</v>
      </c>
      <c r="G27" s="966" t="s">
        <v>493</v>
      </c>
      <c r="H27" s="966" t="s">
        <v>494</v>
      </c>
      <c r="I27" s="966"/>
      <c r="J27" s="966"/>
      <c r="K27" s="966"/>
    </row>
    <row r="28" spans="2:19" ht="29.25" customHeight="1" x14ac:dyDescent="0.25">
      <c r="B28" s="966"/>
      <c r="C28" s="966"/>
      <c r="D28" s="966"/>
      <c r="E28" s="966"/>
      <c r="F28" s="966"/>
      <c r="G28" s="966"/>
      <c r="H28" s="171" t="s">
        <v>495</v>
      </c>
      <c r="I28" s="171" t="s">
        <v>496</v>
      </c>
      <c r="J28" s="966"/>
      <c r="K28" s="966"/>
    </row>
    <row r="29" spans="2:19" x14ac:dyDescent="0.25">
      <c r="B29" s="167">
        <v>1</v>
      </c>
      <c r="C29" s="167">
        <f>B29+1</f>
        <v>2</v>
      </c>
      <c r="D29" s="167">
        <f t="shared" ref="D29:K29" si="4">C29+1</f>
        <v>3</v>
      </c>
      <c r="E29" s="167">
        <f t="shared" si="4"/>
        <v>4</v>
      </c>
      <c r="F29" s="167">
        <f t="shared" si="4"/>
        <v>5</v>
      </c>
      <c r="G29" s="167">
        <f t="shared" si="4"/>
        <v>6</v>
      </c>
      <c r="H29" s="167">
        <f t="shared" si="4"/>
        <v>7</v>
      </c>
      <c r="I29" s="167">
        <f t="shared" si="4"/>
        <v>8</v>
      </c>
      <c r="J29" s="167">
        <f t="shared" si="4"/>
        <v>9</v>
      </c>
      <c r="K29" s="167">
        <f t="shared" si="4"/>
        <v>10</v>
      </c>
    </row>
    <row r="30" spans="2:19" x14ac:dyDescent="0.25">
      <c r="B30" s="171"/>
      <c r="C30" s="96"/>
      <c r="D30" s="96">
        <f>E30+F30+G30+I30</f>
        <v>0</v>
      </c>
      <c r="E30" s="96"/>
      <c r="F30" s="96"/>
      <c r="G30" s="96"/>
      <c r="H30" s="178">
        <v>0.3</v>
      </c>
      <c r="I30" s="96">
        <f>(E30+F30+G30)*H30</f>
        <v>0</v>
      </c>
      <c r="J30" s="179" t="s">
        <v>37</v>
      </c>
      <c r="K30" s="96">
        <f>C30*D30*12</f>
        <v>0</v>
      </c>
      <c r="O30" s="103"/>
      <c r="Q30" s="588"/>
      <c r="R30" s="103"/>
      <c r="S30" s="103"/>
    </row>
    <row r="31" spans="2:19" x14ac:dyDescent="0.25">
      <c r="B31" s="171"/>
      <c r="C31" s="96"/>
      <c r="D31" s="96">
        <f>E31+F31+G31+I31</f>
        <v>0</v>
      </c>
      <c r="E31" s="96"/>
      <c r="F31" s="96"/>
      <c r="G31" s="96"/>
      <c r="H31" s="178">
        <v>0.3</v>
      </c>
      <c r="I31" s="96">
        <f>(E31+F31+G31)*H31</f>
        <v>0</v>
      </c>
      <c r="J31" s="179" t="s">
        <v>37</v>
      </c>
      <c r="K31" s="96">
        <f>C31*D31*12</f>
        <v>0</v>
      </c>
      <c r="O31" s="103"/>
      <c r="Q31" s="588"/>
      <c r="R31" s="103"/>
      <c r="S31" s="103"/>
    </row>
    <row r="32" spans="2:19" x14ac:dyDescent="0.25">
      <c r="B32" s="171"/>
      <c r="C32" s="96"/>
      <c r="D32" s="96">
        <f>E32+F32+G32+I32</f>
        <v>0</v>
      </c>
      <c r="E32" s="96"/>
      <c r="F32" s="96"/>
      <c r="G32" s="96"/>
      <c r="H32" s="178">
        <v>0.3</v>
      </c>
      <c r="I32" s="96">
        <f>(E32+F32+G32)*H32</f>
        <v>0</v>
      </c>
      <c r="J32" s="179" t="s">
        <v>37</v>
      </c>
      <c r="K32" s="96">
        <f>C32*D32*12</f>
        <v>0</v>
      </c>
      <c r="O32" s="103"/>
      <c r="Q32" s="588"/>
      <c r="R32" s="103"/>
      <c r="S32" s="103"/>
    </row>
    <row r="33" spans="2:19" x14ac:dyDescent="0.25">
      <c r="B33" s="171"/>
      <c r="C33" s="96"/>
      <c r="D33" s="96">
        <f>E33+F33+G33+I33</f>
        <v>0</v>
      </c>
      <c r="E33" s="96"/>
      <c r="F33" s="96"/>
      <c r="G33" s="96"/>
      <c r="H33" s="178">
        <v>0.3</v>
      </c>
      <c r="I33" s="96">
        <f>(E33+F33+G33)*H33</f>
        <v>0</v>
      </c>
      <c r="J33" s="179" t="s">
        <v>37</v>
      </c>
      <c r="K33" s="96">
        <f>C33*D33*12</f>
        <v>0</v>
      </c>
      <c r="O33" s="103"/>
      <c r="Q33" s="588"/>
      <c r="R33" s="103"/>
      <c r="S33" s="103"/>
    </row>
    <row r="34" spans="2:19" x14ac:dyDescent="0.25">
      <c r="B34" s="172" t="s">
        <v>454</v>
      </c>
      <c r="C34" s="96">
        <f>SUM(C30:C33)</f>
        <v>0</v>
      </c>
      <c r="D34" s="179" t="s">
        <v>37</v>
      </c>
      <c r="E34" s="179" t="s">
        <v>37</v>
      </c>
      <c r="F34" s="179" t="s">
        <v>37</v>
      </c>
      <c r="G34" s="179" t="s">
        <v>37</v>
      </c>
      <c r="H34" s="179" t="s">
        <v>37</v>
      </c>
      <c r="I34" s="179" t="s">
        <v>37</v>
      </c>
      <c r="J34" s="96" t="e">
        <f>I18</f>
        <v>#REF!</v>
      </c>
      <c r="K34" s="96" t="e">
        <f>SUM(K30:K33)+J34</f>
        <v>#REF!</v>
      </c>
      <c r="O34" s="103" t="e">
        <f>F18+I18</f>
        <v>#REF!</v>
      </c>
      <c r="P34" s="132" t="e">
        <f>K34-F18-I18</f>
        <v>#REF!</v>
      </c>
      <c r="Q34" s="589"/>
      <c r="R34" s="103"/>
    </row>
    <row r="35" spans="2:19" x14ac:dyDescent="0.25">
      <c r="P35" s="133"/>
    </row>
    <row r="36" spans="2:19" x14ac:dyDescent="0.25">
      <c r="C36" s="176" t="s">
        <v>483</v>
      </c>
      <c r="D36" s="28">
        <f>C15</f>
        <v>2024</v>
      </c>
      <c r="E36" s="28"/>
      <c r="G36" s="177" t="str">
        <f>B19</f>
        <v>Оказание услуг (выполнение работ) на платной основе</v>
      </c>
      <c r="P36" s="133"/>
      <c r="R36" s="103"/>
    </row>
    <row r="37" spans="2:19" x14ac:dyDescent="0.25">
      <c r="B37" s="966" t="s">
        <v>485</v>
      </c>
      <c r="C37" s="966" t="s">
        <v>486</v>
      </c>
      <c r="D37" s="966" t="s">
        <v>487</v>
      </c>
      <c r="E37" s="966"/>
      <c r="F37" s="966"/>
      <c r="G37" s="966"/>
      <c r="H37" s="966"/>
      <c r="I37" s="966"/>
      <c r="J37" s="966" t="s">
        <v>488</v>
      </c>
      <c r="K37" s="966" t="s">
        <v>489</v>
      </c>
      <c r="P37" s="133"/>
    </row>
    <row r="38" spans="2:19" x14ac:dyDescent="0.25">
      <c r="B38" s="966"/>
      <c r="C38" s="966"/>
      <c r="D38" s="966" t="s">
        <v>393</v>
      </c>
      <c r="E38" s="966" t="s">
        <v>490</v>
      </c>
      <c r="F38" s="966"/>
      <c r="G38" s="966"/>
      <c r="H38" s="966"/>
      <c r="I38" s="966"/>
      <c r="J38" s="966"/>
      <c r="K38" s="966"/>
      <c r="P38" s="133"/>
    </row>
    <row r="39" spans="2:19" x14ac:dyDescent="0.25">
      <c r="B39" s="966"/>
      <c r="C39" s="966"/>
      <c r="D39" s="966"/>
      <c r="E39" s="966" t="s">
        <v>491</v>
      </c>
      <c r="F39" s="966" t="s">
        <v>492</v>
      </c>
      <c r="G39" s="966" t="s">
        <v>493</v>
      </c>
      <c r="H39" s="966" t="s">
        <v>494</v>
      </c>
      <c r="I39" s="966"/>
      <c r="J39" s="966"/>
      <c r="K39" s="966"/>
      <c r="P39" s="133"/>
    </row>
    <row r="40" spans="2:19" x14ac:dyDescent="0.25">
      <c r="B40" s="966"/>
      <c r="C40" s="966"/>
      <c r="D40" s="966"/>
      <c r="E40" s="966"/>
      <c r="F40" s="966"/>
      <c r="G40" s="966"/>
      <c r="H40" s="171" t="s">
        <v>495</v>
      </c>
      <c r="I40" s="171" t="s">
        <v>496</v>
      </c>
      <c r="J40" s="966"/>
      <c r="K40" s="966"/>
      <c r="P40" s="133"/>
    </row>
    <row r="41" spans="2:19" x14ac:dyDescent="0.25">
      <c r="B41" s="167">
        <v>1</v>
      </c>
      <c r="C41" s="167">
        <f>B41+1</f>
        <v>2</v>
      </c>
      <c r="D41" s="167">
        <f t="shared" ref="D41:K41" si="5">C41+1</f>
        <v>3</v>
      </c>
      <c r="E41" s="167">
        <f t="shared" si="5"/>
        <v>4</v>
      </c>
      <c r="F41" s="167">
        <f t="shared" si="5"/>
        <v>5</v>
      </c>
      <c r="G41" s="167">
        <f t="shared" si="5"/>
        <v>6</v>
      </c>
      <c r="H41" s="167">
        <f t="shared" si="5"/>
        <v>7</v>
      </c>
      <c r="I41" s="167">
        <f t="shared" si="5"/>
        <v>8</v>
      </c>
      <c r="J41" s="167">
        <f t="shared" si="5"/>
        <v>9</v>
      </c>
      <c r="K41" s="167">
        <f t="shared" si="5"/>
        <v>10</v>
      </c>
      <c r="P41" s="133"/>
    </row>
    <row r="42" spans="2:19" x14ac:dyDescent="0.25">
      <c r="B42" s="171" t="s">
        <v>497</v>
      </c>
      <c r="C42" s="96"/>
      <c r="D42" s="96">
        <f>E42+F42+G42+I42</f>
        <v>0</v>
      </c>
      <c r="E42" s="96"/>
      <c r="F42" s="96"/>
      <c r="G42" s="96"/>
      <c r="H42" s="178">
        <v>0.3</v>
      </c>
      <c r="I42" s="96">
        <f>(E42+F42+G42)*H42</f>
        <v>0</v>
      </c>
      <c r="J42" s="179" t="s">
        <v>37</v>
      </c>
      <c r="K42" s="96">
        <f>C42*D42*12</f>
        <v>0</v>
      </c>
      <c r="O42" s="103"/>
      <c r="P42" s="133"/>
    </row>
    <row r="43" spans="2:19" x14ac:dyDescent="0.25">
      <c r="B43" s="171" t="s">
        <v>686</v>
      </c>
      <c r="C43" s="96"/>
      <c r="D43" s="96">
        <f>E43+F43+G43+I43</f>
        <v>0</v>
      </c>
      <c r="E43" s="96"/>
      <c r="F43" s="96"/>
      <c r="G43" s="96"/>
      <c r="H43" s="178">
        <v>0.3</v>
      </c>
      <c r="I43" s="96">
        <f>(E43+F43+G43)*H43</f>
        <v>0</v>
      </c>
      <c r="J43" s="179" t="s">
        <v>37</v>
      </c>
      <c r="K43" s="96">
        <f>C43*D43*12</f>
        <v>0</v>
      </c>
      <c r="O43" s="103"/>
      <c r="P43" s="133"/>
    </row>
    <row r="44" spans="2:19" x14ac:dyDescent="0.25">
      <c r="B44" s="171" t="s">
        <v>687</v>
      </c>
      <c r="C44" s="96"/>
      <c r="D44" s="96">
        <f>E44+F44+G44+I44</f>
        <v>0</v>
      </c>
      <c r="E44" s="96"/>
      <c r="F44" s="96"/>
      <c r="G44" s="96"/>
      <c r="H44" s="178">
        <v>0.3</v>
      </c>
      <c r="I44" s="96">
        <f>(E44+F44+G44)*H44</f>
        <v>0</v>
      </c>
      <c r="J44" s="179" t="s">
        <v>37</v>
      </c>
      <c r="K44" s="96">
        <f>C44*D44*12</f>
        <v>0</v>
      </c>
      <c r="O44" s="103"/>
      <c r="P44" s="133"/>
    </row>
    <row r="45" spans="2:19" x14ac:dyDescent="0.25">
      <c r="B45" s="171" t="s">
        <v>501</v>
      </c>
      <c r="C45" s="96"/>
      <c r="D45" s="96">
        <f>E45+F45+G45+I45</f>
        <v>0</v>
      </c>
      <c r="E45" s="96"/>
      <c r="F45" s="96"/>
      <c r="G45" s="96"/>
      <c r="H45" s="178">
        <v>0.3</v>
      </c>
      <c r="I45" s="96">
        <f>(E45+F45+G45)*H45</f>
        <v>0</v>
      </c>
      <c r="J45" s="179" t="s">
        <v>37</v>
      </c>
      <c r="K45" s="96">
        <f>C45*D45*12</f>
        <v>0</v>
      </c>
      <c r="O45" s="103"/>
      <c r="P45" s="133"/>
    </row>
    <row r="46" spans="2:19" x14ac:dyDescent="0.25">
      <c r="B46" s="172" t="s">
        <v>454</v>
      </c>
      <c r="C46" s="96">
        <f>SUM(C42:C45)</f>
        <v>0</v>
      </c>
      <c r="D46" s="179" t="s">
        <v>37</v>
      </c>
      <c r="E46" s="179" t="s">
        <v>37</v>
      </c>
      <c r="F46" s="179" t="s">
        <v>37</v>
      </c>
      <c r="G46" s="179" t="s">
        <v>37</v>
      </c>
      <c r="H46" s="179" t="s">
        <v>37</v>
      </c>
      <c r="I46" s="179" t="s">
        <v>37</v>
      </c>
      <c r="J46" s="96"/>
      <c r="K46" s="96">
        <f>SUM(K42:K45)+J46</f>
        <v>0</v>
      </c>
      <c r="O46" s="103">
        <f>F19</f>
        <v>389628.52</v>
      </c>
      <c r="P46" s="132">
        <f>K46-F19</f>
        <v>-389628.52</v>
      </c>
    </row>
    <row r="48" spans="2:19" x14ac:dyDescent="0.25">
      <c r="C48" s="176" t="s">
        <v>483</v>
      </c>
      <c r="D48" s="28">
        <f>C15</f>
        <v>2024</v>
      </c>
      <c r="E48" s="28"/>
      <c r="G48" s="177" t="str">
        <f>B20</f>
        <v>Целевые субсидии</v>
      </c>
    </row>
    <row r="49" spans="2:11" x14ac:dyDescent="0.25">
      <c r="B49" s="966" t="s">
        <v>485</v>
      </c>
      <c r="C49" s="966" t="s">
        <v>486</v>
      </c>
      <c r="D49" s="966" t="s">
        <v>487</v>
      </c>
      <c r="E49" s="966"/>
      <c r="F49" s="966"/>
      <c r="G49" s="966"/>
      <c r="H49" s="966"/>
      <c r="I49" s="966"/>
      <c r="J49" s="966" t="s">
        <v>488</v>
      </c>
      <c r="K49" s="966" t="s">
        <v>489</v>
      </c>
    </row>
    <row r="50" spans="2:11" x14ac:dyDescent="0.25">
      <c r="B50" s="966"/>
      <c r="C50" s="966"/>
      <c r="D50" s="966" t="s">
        <v>393</v>
      </c>
      <c r="E50" s="966" t="s">
        <v>490</v>
      </c>
      <c r="F50" s="966"/>
      <c r="G50" s="966"/>
      <c r="H50" s="966"/>
      <c r="I50" s="966"/>
      <c r="J50" s="966"/>
      <c r="K50" s="966"/>
    </row>
    <row r="51" spans="2:11" x14ac:dyDescent="0.25">
      <c r="B51" s="966"/>
      <c r="C51" s="966"/>
      <c r="D51" s="966"/>
      <c r="E51" s="966" t="s">
        <v>491</v>
      </c>
      <c r="F51" s="966" t="s">
        <v>492</v>
      </c>
      <c r="G51" s="966" t="s">
        <v>493</v>
      </c>
      <c r="H51" s="966" t="s">
        <v>494</v>
      </c>
      <c r="I51" s="966"/>
      <c r="J51" s="966"/>
      <c r="K51" s="966"/>
    </row>
    <row r="52" spans="2:11" x14ac:dyDescent="0.25">
      <c r="B52" s="966"/>
      <c r="C52" s="966"/>
      <c r="D52" s="966"/>
      <c r="E52" s="966"/>
      <c r="F52" s="966"/>
      <c r="G52" s="966"/>
      <c r="H52" s="171" t="s">
        <v>495</v>
      </c>
      <c r="I52" s="171" t="s">
        <v>496</v>
      </c>
      <c r="J52" s="966"/>
      <c r="K52" s="966"/>
    </row>
    <row r="53" spans="2:11" x14ac:dyDescent="0.25">
      <c r="B53" s="167">
        <v>1</v>
      </c>
      <c r="C53" s="167">
        <f>B53+1</f>
        <v>2</v>
      </c>
      <c r="D53" s="167">
        <f t="shared" ref="D53:K53" si="6">C53+1</f>
        <v>3</v>
      </c>
      <c r="E53" s="167">
        <f t="shared" si="6"/>
        <v>4</v>
      </c>
      <c r="F53" s="167">
        <f t="shared" si="6"/>
        <v>5</v>
      </c>
      <c r="G53" s="167">
        <f t="shared" si="6"/>
        <v>6</v>
      </c>
      <c r="H53" s="167">
        <f t="shared" si="6"/>
        <v>7</v>
      </c>
      <c r="I53" s="167">
        <f t="shared" si="6"/>
        <v>8</v>
      </c>
      <c r="J53" s="167">
        <f t="shared" si="6"/>
        <v>9</v>
      </c>
      <c r="K53" s="167">
        <f t="shared" si="6"/>
        <v>10</v>
      </c>
    </row>
    <row r="54" spans="2:11" x14ac:dyDescent="0.25">
      <c r="B54" s="171" t="s">
        <v>497</v>
      </c>
      <c r="C54" s="96"/>
      <c r="D54" s="96">
        <f>E54+F54+G54+I54</f>
        <v>0</v>
      </c>
      <c r="E54" s="96"/>
      <c r="F54" s="96"/>
      <c r="G54" s="96"/>
      <c r="H54" s="178">
        <v>0.3</v>
      </c>
      <c r="I54" s="96">
        <f>(E54+F54+G54)*H54</f>
        <v>0</v>
      </c>
      <c r="J54" s="179" t="s">
        <v>37</v>
      </c>
      <c r="K54" s="96">
        <f>C54*D54*12</f>
        <v>0</v>
      </c>
    </row>
    <row r="55" spans="2:11" ht="27.6" x14ac:dyDescent="0.25">
      <c r="B55" s="171" t="s">
        <v>498</v>
      </c>
      <c r="C55" s="96"/>
      <c r="D55" s="96">
        <f>E55+F55+G55+I55</f>
        <v>0</v>
      </c>
      <c r="E55" s="96"/>
      <c r="F55" s="96"/>
      <c r="G55" s="96"/>
      <c r="H55" s="178">
        <v>0.3</v>
      </c>
      <c r="I55" s="96">
        <f>(E55+F55+G55)*H55</f>
        <v>0</v>
      </c>
      <c r="J55" s="179" t="s">
        <v>37</v>
      </c>
      <c r="K55" s="96">
        <f>C55*D55*12</f>
        <v>0</v>
      </c>
    </row>
    <row r="56" spans="2:11" x14ac:dyDescent="0.25">
      <c r="B56" s="171" t="s">
        <v>499</v>
      </c>
      <c r="C56" s="96"/>
      <c r="D56" s="96">
        <f>E56+F56+G56+I56</f>
        <v>0</v>
      </c>
      <c r="E56" s="96"/>
      <c r="F56" s="96"/>
      <c r="G56" s="96"/>
      <c r="H56" s="178">
        <v>0.3</v>
      </c>
      <c r="I56" s="96">
        <f>(E56+F56+G56)*H56</f>
        <v>0</v>
      </c>
      <c r="J56" s="179" t="s">
        <v>37</v>
      </c>
      <c r="K56" s="96">
        <f>C56*D56*12</f>
        <v>0</v>
      </c>
    </row>
    <row r="57" spans="2:11" x14ac:dyDescent="0.25">
      <c r="B57" s="171" t="s">
        <v>500</v>
      </c>
      <c r="C57" s="96"/>
      <c r="D57" s="96">
        <f>E57+F57+G57+I57</f>
        <v>0</v>
      </c>
      <c r="E57" s="96"/>
      <c r="F57" s="96"/>
      <c r="G57" s="96"/>
      <c r="H57" s="178">
        <v>0.3</v>
      </c>
      <c r="I57" s="96">
        <f>(E57+F57+G57)*H57</f>
        <v>0</v>
      </c>
      <c r="J57" s="179" t="s">
        <v>37</v>
      </c>
      <c r="K57" s="96">
        <f>C57*D57*12</f>
        <v>0</v>
      </c>
    </row>
    <row r="58" spans="2:11" x14ac:dyDescent="0.25">
      <c r="B58" s="171" t="s">
        <v>501</v>
      </c>
      <c r="C58" s="96"/>
      <c r="D58" s="96">
        <f>E58+F58+G58+I58</f>
        <v>0</v>
      </c>
      <c r="E58" s="96"/>
      <c r="F58" s="96"/>
      <c r="G58" s="96"/>
      <c r="H58" s="178">
        <v>0.3</v>
      </c>
      <c r="I58" s="96">
        <f>(E58+F58+G58)*H58</f>
        <v>0</v>
      </c>
      <c r="J58" s="179" t="s">
        <v>37</v>
      </c>
      <c r="K58" s="96">
        <f>C58*D58*12</f>
        <v>0</v>
      </c>
    </row>
    <row r="59" spans="2:11" x14ac:dyDescent="0.25">
      <c r="B59" s="172" t="s">
        <v>454</v>
      </c>
      <c r="C59" s="96">
        <f>SUM(C54:C58)</f>
        <v>0</v>
      </c>
      <c r="D59" s="179" t="s">
        <v>37</v>
      </c>
      <c r="E59" s="179" t="s">
        <v>37</v>
      </c>
      <c r="F59" s="179" t="s">
        <v>37</v>
      </c>
      <c r="G59" s="179" t="s">
        <v>37</v>
      </c>
      <c r="H59" s="179" t="s">
        <v>37</v>
      </c>
      <c r="I59" s="179" t="s">
        <v>37</v>
      </c>
      <c r="J59" s="96"/>
      <c r="K59" s="96">
        <f>SUM(K54:K58)+J59</f>
        <v>0</v>
      </c>
    </row>
    <row r="61" spans="2:11" x14ac:dyDescent="0.25">
      <c r="C61" s="176" t="s">
        <v>483</v>
      </c>
      <c r="D61" s="28">
        <f>$D$15</f>
        <v>2025</v>
      </c>
      <c r="E61" s="28"/>
      <c r="G61" s="177" t="str">
        <f>B18</f>
        <v xml:space="preserve">Субсидии на финансовое обеспечение выполнения муниципального задания </v>
      </c>
    </row>
    <row r="62" spans="2:11" x14ac:dyDescent="0.25">
      <c r="B62" s="966" t="s">
        <v>485</v>
      </c>
      <c r="C62" s="966" t="s">
        <v>486</v>
      </c>
      <c r="D62" s="966" t="s">
        <v>487</v>
      </c>
      <c r="E62" s="966"/>
      <c r="F62" s="966"/>
      <c r="G62" s="966"/>
      <c r="H62" s="966"/>
      <c r="I62" s="966"/>
      <c r="J62" s="966" t="s">
        <v>488</v>
      </c>
      <c r="K62" s="966" t="s">
        <v>489</v>
      </c>
    </row>
    <row r="63" spans="2:11" x14ac:dyDescent="0.25">
      <c r="B63" s="966"/>
      <c r="C63" s="966"/>
      <c r="D63" s="966" t="s">
        <v>393</v>
      </c>
      <c r="E63" s="966" t="s">
        <v>490</v>
      </c>
      <c r="F63" s="966"/>
      <c r="G63" s="966"/>
      <c r="H63" s="966"/>
      <c r="I63" s="966"/>
      <c r="J63" s="966"/>
      <c r="K63" s="966"/>
    </row>
    <row r="64" spans="2:11" ht="29.25" customHeight="1" x14ac:dyDescent="0.25">
      <c r="B64" s="966"/>
      <c r="C64" s="966"/>
      <c r="D64" s="966"/>
      <c r="E64" s="966" t="s">
        <v>491</v>
      </c>
      <c r="F64" s="966" t="s">
        <v>492</v>
      </c>
      <c r="G64" s="966" t="s">
        <v>493</v>
      </c>
      <c r="H64" s="966" t="s">
        <v>494</v>
      </c>
      <c r="I64" s="966"/>
      <c r="J64" s="966"/>
      <c r="K64" s="966"/>
    </row>
    <row r="65" spans="2:20" ht="29.25" customHeight="1" x14ac:dyDescent="0.25">
      <c r="B65" s="966"/>
      <c r="C65" s="966"/>
      <c r="D65" s="966"/>
      <c r="E65" s="966"/>
      <c r="F65" s="966"/>
      <c r="G65" s="966"/>
      <c r="H65" s="171" t="s">
        <v>495</v>
      </c>
      <c r="I65" s="171" t="s">
        <v>496</v>
      </c>
      <c r="J65" s="966"/>
      <c r="K65" s="966"/>
    </row>
    <row r="66" spans="2:20" x14ac:dyDescent="0.25">
      <c r="B66" s="167">
        <v>1</v>
      </c>
      <c r="C66" s="167">
        <f>B66+1</f>
        <v>2</v>
      </c>
      <c r="D66" s="167">
        <f t="shared" ref="D66:K66" si="7">C66+1</f>
        <v>3</v>
      </c>
      <c r="E66" s="167">
        <f t="shared" si="7"/>
        <v>4</v>
      </c>
      <c r="F66" s="167">
        <f t="shared" si="7"/>
        <v>5</v>
      </c>
      <c r="G66" s="167">
        <f t="shared" si="7"/>
        <v>6</v>
      </c>
      <c r="H66" s="167">
        <f t="shared" si="7"/>
        <v>7</v>
      </c>
      <c r="I66" s="167">
        <f t="shared" si="7"/>
        <v>8</v>
      </c>
      <c r="J66" s="167">
        <f t="shared" si="7"/>
        <v>9</v>
      </c>
      <c r="K66" s="167">
        <f t="shared" si="7"/>
        <v>10</v>
      </c>
    </row>
    <row r="67" spans="2:20" x14ac:dyDescent="0.25">
      <c r="B67" s="171"/>
      <c r="C67" s="96"/>
      <c r="D67" s="96">
        <f>E67+F67+G67+I67</f>
        <v>0</v>
      </c>
      <c r="E67" s="96"/>
      <c r="F67" s="96"/>
      <c r="G67" s="96"/>
      <c r="H67" s="178">
        <v>0.3</v>
      </c>
      <c r="I67" s="96">
        <f>(E67+F67+G67)*H67</f>
        <v>0</v>
      </c>
      <c r="J67" s="179" t="s">
        <v>37</v>
      </c>
      <c r="K67" s="96">
        <f>C67*D67*4</f>
        <v>0</v>
      </c>
      <c r="O67" s="103"/>
      <c r="R67" s="103"/>
      <c r="S67" s="103"/>
      <c r="T67" s="103"/>
    </row>
    <row r="68" spans="2:20" x14ac:dyDescent="0.25">
      <c r="B68" s="171"/>
      <c r="C68" s="96"/>
      <c r="D68" s="96">
        <f>E68+F68+G68+I68</f>
        <v>0</v>
      </c>
      <c r="E68" s="96"/>
      <c r="F68" s="96"/>
      <c r="G68" s="96"/>
      <c r="H68" s="178">
        <v>0.3</v>
      </c>
      <c r="I68" s="96">
        <f>(E68+F68+G68)*H68</f>
        <v>0</v>
      </c>
      <c r="J68" s="179" t="s">
        <v>37</v>
      </c>
      <c r="K68" s="96">
        <f>C68*D68*4</f>
        <v>0</v>
      </c>
      <c r="O68" s="103"/>
      <c r="R68" s="103"/>
      <c r="S68" s="103"/>
      <c r="T68" s="103"/>
    </row>
    <row r="69" spans="2:20" x14ac:dyDescent="0.25">
      <c r="B69" s="171"/>
      <c r="C69" s="96"/>
      <c r="D69" s="96">
        <f>E69+F69+G69+I69</f>
        <v>0</v>
      </c>
      <c r="E69" s="96"/>
      <c r="F69" s="96"/>
      <c r="G69" s="96"/>
      <c r="H69" s="178">
        <v>0.3</v>
      </c>
      <c r="I69" s="96">
        <f>(E69+F69+G69)*H69</f>
        <v>0</v>
      </c>
      <c r="J69" s="179" t="s">
        <v>37</v>
      </c>
      <c r="K69" s="96">
        <f>C69*D69*4</f>
        <v>0</v>
      </c>
      <c r="O69" s="103"/>
      <c r="R69" s="103"/>
      <c r="S69" s="103"/>
      <c r="T69" s="103"/>
    </row>
    <row r="70" spans="2:20" x14ac:dyDescent="0.25">
      <c r="B70" s="171"/>
      <c r="C70" s="96"/>
      <c r="D70" s="96">
        <f>E70+F70+G70+I70</f>
        <v>0</v>
      </c>
      <c r="E70" s="96"/>
      <c r="F70" s="96"/>
      <c r="G70" s="96"/>
      <c r="H70" s="178">
        <v>0.3</v>
      </c>
      <c r="I70" s="96">
        <f>(E70+F70+G70)*H70</f>
        <v>0</v>
      </c>
      <c r="J70" s="179" t="s">
        <v>37</v>
      </c>
      <c r="K70" s="96">
        <f>C70*D70*4</f>
        <v>0</v>
      </c>
      <c r="O70" s="103"/>
      <c r="R70" s="103"/>
      <c r="S70" s="103"/>
      <c r="T70" s="103"/>
    </row>
    <row r="71" spans="2:20" x14ac:dyDescent="0.25">
      <c r="B71" s="172" t="s">
        <v>454</v>
      </c>
      <c r="C71" s="96">
        <f>SUM(C67:C70)</f>
        <v>0</v>
      </c>
      <c r="D71" s="179" t="s">
        <v>37</v>
      </c>
      <c r="E71" s="179" t="s">
        <v>37</v>
      </c>
      <c r="F71" s="179" t="s">
        <v>37</v>
      </c>
      <c r="G71" s="179" t="s">
        <v>37</v>
      </c>
      <c r="H71" s="179" t="s">
        <v>37</v>
      </c>
      <c r="I71" s="179" t="s">
        <v>37</v>
      </c>
      <c r="J71" s="96" t="e">
        <f>J18</f>
        <v>#REF!</v>
      </c>
      <c r="K71" s="96" t="e">
        <f>SUM(K67:K70)+J71</f>
        <v>#REF!</v>
      </c>
      <c r="O71" s="103" t="e">
        <f>G18+J18</f>
        <v>#REF!</v>
      </c>
      <c r="P71" s="132" t="e">
        <f>K71-G18-J18</f>
        <v>#REF!</v>
      </c>
      <c r="R71" s="103"/>
      <c r="S71" s="103"/>
      <c r="T71" s="103"/>
    </row>
    <row r="73" spans="2:20" x14ac:dyDescent="0.25">
      <c r="C73" s="176" t="s">
        <v>483</v>
      </c>
      <c r="D73" s="28">
        <f>$D$15</f>
        <v>2025</v>
      </c>
      <c r="E73" s="28"/>
      <c r="G73" s="177" t="str">
        <f>B19</f>
        <v>Оказание услуг (выполнение работ) на платной основе</v>
      </c>
      <c r="R73" s="103"/>
    </row>
    <row r="74" spans="2:20" x14ac:dyDescent="0.25">
      <c r="B74" s="966" t="s">
        <v>485</v>
      </c>
      <c r="C74" s="966" t="s">
        <v>486</v>
      </c>
      <c r="D74" s="966" t="s">
        <v>487</v>
      </c>
      <c r="E74" s="966"/>
      <c r="F74" s="966"/>
      <c r="G74" s="966"/>
      <c r="H74" s="966"/>
      <c r="I74" s="966"/>
      <c r="J74" s="966" t="s">
        <v>488</v>
      </c>
      <c r="K74" s="966" t="s">
        <v>489</v>
      </c>
    </row>
    <row r="75" spans="2:20" x14ac:dyDescent="0.25">
      <c r="B75" s="966"/>
      <c r="C75" s="966"/>
      <c r="D75" s="966" t="s">
        <v>393</v>
      </c>
      <c r="E75" s="966" t="s">
        <v>490</v>
      </c>
      <c r="F75" s="966"/>
      <c r="G75" s="966"/>
      <c r="H75" s="966"/>
      <c r="I75" s="966"/>
      <c r="J75" s="966"/>
      <c r="K75" s="966"/>
    </row>
    <row r="76" spans="2:20" x14ac:dyDescent="0.25">
      <c r="B76" s="966"/>
      <c r="C76" s="966"/>
      <c r="D76" s="966"/>
      <c r="E76" s="966" t="s">
        <v>491</v>
      </c>
      <c r="F76" s="966" t="s">
        <v>492</v>
      </c>
      <c r="G76" s="966" t="s">
        <v>493</v>
      </c>
      <c r="H76" s="966" t="s">
        <v>494</v>
      </c>
      <c r="I76" s="966"/>
      <c r="J76" s="966"/>
      <c r="K76" s="966"/>
    </row>
    <row r="77" spans="2:20" x14ac:dyDescent="0.25">
      <c r="B77" s="966"/>
      <c r="C77" s="966"/>
      <c r="D77" s="966"/>
      <c r="E77" s="966"/>
      <c r="F77" s="966"/>
      <c r="G77" s="966"/>
      <c r="H77" s="171" t="s">
        <v>495</v>
      </c>
      <c r="I77" s="171" t="s">
        <v>496</v>
      </c>
      <c r="J77" s="966"/>
      <c r="K77" s="966"/>
    </row>
    <row r="78" spans="2:20" x14ac:dyDescent="0.25">
      <c r="B78" s="167">
        <v>1</v>
      </c>
      <c r="C78" s="167">
        <f>B78+1</f>
        <v>2</v>
      </c>
      <c r="D78" s="167">
        <f t="shared" ref="D78:K78" si="8">C78+1</f>
        <v>3</v>
      </c>
      <c r="E78" s="167">
        <f t="shared" si="8"/>
        <v>4</v>
      </c>
      <c r="F78" s="167">
        <f t="shared" si="8"/>
        <v>5</v>
      </c>
      <c r="G78" s="167">
        <f t="shared" si="8"/>
        <v>6</v>
      </c>
      <c r="H78" s="167">
        <f t="shared" si="8"/>
        <v>7</v>
      </c>
      <c r="I78" s="167">
        <f t="shared" si="8"/>
        <v>8</v>
      </c>
      <c r="J78" s="167">
        <f t="shared" si="8"/>
        <v>9</v>
      </c>
      <c r="K78" s="167">
        <f t="shared" si="8"/>
        <v>10</v>
      </c>
    </row>
    <row r="79" spans="2:20" x14ac:dyDescent="0.25">
      <c r="B79" s="171" t="s">
        <v>497</v>
      </c>
      <c r="C79" s="96"/>
      <c r="D79" s="96">
        <f>E79+F79+G79+I79</f>
        <v>0</v>
      </c>
      <c r="E79" s="96"/>
      <c r="F79" s="96"/>
      <c r="G79" s="96"/>
      <c r="H79" s="178">
        <v>0.3</v>
      </c>
      <c r="I79" s="96">
        <f>(E79+F79+G79)*H79</f>
        <v>0</v>
      </c>
      <c r="J79" s="179" t="s">
        <v>37</v>
      </c>
      <c r="K79" s="96">
        <f>C79*D79*12</f>
        <v>0</v>
      </c>
      <c r="O79" s="103"/>
    </row>
    <row r="80" spans="2:20" x14ac:dyDescent="0.25">
      <c r="B80" s="171" t="s">
        <v>686</v>
      </c>
      <c r="C80" s="96"/>
      <c r="D80" s="96">
        <f>E80+F80+G80+I80</f>
        <v>0</v>
      </c>
      <c r="E80" s="96"/>
      <c r="F80" s="96"/>
      <c r="G80" s="96"/>
      <c r="H80" s="178">
        <v>0.3</v>
      </c>
      <c r="I80" s="96">
        <f>(E80+F80+G80)*H80</f>
        <v>0</v>
      </c>
      <c r="J80" s="179" t="s">
        <v>37</v>
      </c>
      <c r="K80" s="96">
        <f>C80*D80*12</f>
        <v>0</v>
      </c>
      <c r="O80" s="103"/>
    </row>
    <row r="81" spans="2:16" x14ac:dyDescent="0.25">
      <c r="B81" s="171" t="s">
        <v>687</v>
      </c>
      <c r="C81" s="96"/>
      <c r="D81" s="96">
        <f>E81+F81+G81+I81</f>
        <v>0</v>
      </c>
      <c r="E81" s="96"/>
      <c r="F81" s="96"/>
      <c r="G81" s="96"/>
      <c r="H81" s="178">
        <v>0.3</v>
      </c>
      <c r="I81" s="96">
        <f>(E81+F81+G81)*H81</f>
        <v>0</v>
      </c>
      <c r="J81" s="179" t="s">
        <v>37</v>
      </c>
      <c r="K81" s="96">
        <f>C81*D81*12</f>
        <v>0</v>
      </c>
      <c r="O81" s="103"/>
    </row>
    <row r="82" spans="2:16" x14ac:dyDescent="0.25">
      <c r="B82" s="171" t="s">
        <v>501</v>
      </c>
      <c r="C82" s="96"/>
      <c r="D82" s="96">
        <f>E82+F82+G82+I82</f>
        <v>0</v>
      </c>
      <c r="E82" s="96"/>
      <c r="F82" s="96"/>
      <c r="G82" s="96"/>
      <c r="H82" s="178">
        <v>0.3</v>
      </c>
      <c r="I82" s="96">
        <f>(E82+F82+G82)*H82</f>
        <v>0</v>
      </c>
      <c r="J82" s="179" t="s">
        <v>37</v>
      </c>
      <c r="K82" s="96">
        <f>C82*D82*12</f>
        <v>0</v>
      </c>
      <c r="O82" s="103"/>
    </row>
    <row r="83" spans="2:16" x14ac:dyDescent="0.25">
      <c r="B83" s="172" t="s">
        <v>454</v>
      </c>
      <c r="C83" s="96">
        <f>SUM(C79:C82)</f>
        <v>0</v>
      </c>
      <c r="D83" s="179" t="s">
        <v>37</v>
      </c>
      <c r="E83" s="179" t="s">
        <v>37</v>
      </c>
      <c r="F83" s="179" t="s">
        <v>37</v>
      </c>
      <c r="G83" s="179" t="s">
        <v>37</v>
      </c>
      <c r="H83" s="179" t="s">
        <v>37</v>
      </c>
      <c r="I83" s="179" t="s">
        <v>37</v>
      </c>
      <c r="J83" s="96"/>
      <c r="K83" s="96">
        <f>SUM(K79:K82)+J83</f>
        <v>0</v>
      </c>
      <c r="O83" s="103">
        <f>G19</f>
        <v>311074</v>
      </c>
      <c r="P83" s="141">
        <f>K83-O83</f>
        <v>-311074</v>
      </c>
    </row>
    <row r="85" spans="2:16" x14ac:dyDescent="0.25">
      <c r="C85" s="176" t="s">
        <v>483</v>
      </c>
      <c r="D85" s="28">
        <f>$E$15</f>
        <v>2026</v>
      </c>
      <c r="E85" s="28"/>
      <c r="G85" s="177" t="str">
        <f>B18</f>
        <v xml:space="preserve">Субсидии на финансовое обеспечение выполнения муниципального задания </v>
      </c>
    </row>
    <row r="86" spans="2:16" x14ac:dyDescent="0.25">
      <c r="B86" s="966" t="s">
        <v>485</v>
      </c>
      <c r="C86" s="966" t="s">
        <v>486</v>
      </c>
      <c r="D86" s="966" t="s">
        <v>487</v>
      </c>
      <c r="E86" s="966"/>
      <c r="F86" s="966"/>
      <c r="G86" s="966"/>
      <c r="H86" s="966"/>
      <c r="I86" s="966"/>
      <c r="J86" s="966" t="s">
        <v>488</v>
      </c>
      <c r="K86" s="966" t="s">
        <v>489</v>
      </c>
    </row>
    <row r="87" spans="2:16" x14ac:dyDescent="0.25">
      <c r="B87" s="966"/>
      <c r="C87" s="966"/>
      <c r="D87" s="966" t="s">
        <v>393</v>
      </c>
      <c r="E87" s="966" t="s">
        <v>490</v>
      </c>
      <c r="F87" s="966"/>
      <c r="G87" s="966"/>
      <c r="H87" s="966"/>
      <c r="I87" s="966"/>
      <c r="J87" s="966"/>
      <c r="K87" s="966"/>
    </row>
    <row r="88" spans="2:16" ht="29.25" customHeight="1" x14ac:dyDescent="0.25">
      <c r="B88" s="966"/>
      <c r="C88" s="966"/>
      <c r="D88" s="966"/>
      <c r="E88" s="966" t="s">
        <v>491</v>
      </c>
      <c r="F88" s="966" t="s">
        <v>492</v>
      </c>
      <c r="G88" s="966" t="s">
        <v>493</v>
      </c>
      <c r="H88" s="966" t="s">
        <v>494</v>
      </c>
      <c r="I88" s="966"/>
      <c r="J88" s="966"/>
      <c r="K88" s="966"/>
    </row>
    <row r="89" spans="2:16" ht="29.25" customHeight="1" x14ac:dyDescent="0.25">
      <c r="B89" s="966"/>
      <c r="C89" s="966"/>
      <c r="D89" s="966"/>
      <c r="E89" s="966"/>
      <c r="F89" s="966"/>
      <c r="G89" s="966"/>
      <c r="H89" s="171" t="s">
        <v>495</v>
      </c>
      <c r="I89" s="171" t="s">
        <v>496</v>
      </c>
      <c r="J89" s="966"/>
      <c r="K89" s="966"/>
    </row>
    <row r="90" spans="2:16" x14ac:dyDescent="0.25">
      <c r="B90" s="167">
        <v>1</v>
      </c>
      <c r="C90" s="167">
        <f>B90+1</f>
        <v>2</v>
      </c>
      <c r="D90" s="167">
        <f t="shared" ref="D90:K90" si="9">C90+1</f>
        <v>3</v>
      </c>
      <c r="E90" s="167">
        <f t="shared" si="9"/>
        <v>4</v>
      </c>
      <c r="F90" s="167">
        <f t="shared" si="9"/>
        <v>5</v>
      </c>
      <c r="G90" s="167">
        <f t="shared" si="9"/>
        <v>6</v>
      </c>
      <c r="H90" s="167">
        <f t="shared" si="9"/>
        <v>7</v>
      </c>
      <c r="I90" s="167">
        <f t="shared" si="9"/>
        <v>8</v>
      </c>
      <c r="J90" s="167">
        <f t="shared" si="9"/>
        <v>9</v>
      </c>
      <c r="K90" s="167">
        <f t="shared" si="9"/>
        <v>10</v>
      </c>
    </row>
    <row r="91" spans="2:16" x14ac:dyDescent="0.25">
      <c r="B91" s="171" t="s">
        <v>497</v>
      </c>
      <c r="C91" s="96">
        <f>C30</f>
        <v>0</v>
      </c>
      <c r="D91" s="96">
        <f>E91+F91+G91+I91</f>
        <v>0</v>
      </c>
      <c r="E91" s="96">
        <f>E67</f>
        <v>0</v>
      </c>
      <c r="F91" s="96"/>
      <c r="G91" s="96">
        <f>G67</f>
        <v>0</v>
      </c>
      <c r="H91" s="178">
        <v>0.3</v>
      </c>
      <c r="I91" s="96">
        <f>I67</f>
        <v>0</v>
      </c>
      <c r="J91" s="179" t="s">
        <v>37</v>
      </c>
      <c r="K91" s="96">
        <f>K67</f>
        <v>0</v>
      </c>
    </row>
    <row r="92" spans="2:16" x14ac:dyDescent="0.25">
      <c r="B92" s="171" t="s">
        <v>686</v>
      </c>
      <c r="C92" s="96">
        <f>C31</f>
        <v>0</v>
      </c>
      <c r="D92" s="96">
        <f>E92+F92+G92+I92</f>
        <v>0</v>
      </c>
      <c r="E92" s="96">
        <f t="shared" ref="E92:G94" si="10">E68</f>
        <v>0</v>
      </c>
      <c r="F92" s="96"/>
      <c r="G92" s="96">
        <f>G68</f>
        <v>0</v>
      </c>
      <c r="H92" s="178">
        <v>0.3</v>
      </c>
      <c r="I92" s="96">
        <f>I68</f>
        <v>0</v>
      </c>
      <c r="J92" s="179" t="s">
        <v>37</v>
      </c>
      <c r="K92" s="96">
        <f>K68</f>
        <v>0</v>
      </c>
    </row>
    <row r="93" spans="2:16" x14ac:dyDescent="0.25">
      <c r="B93" s="171" t="s">
        <v>687</v>
      </c>
      <c r="C93" s="96">
        <f>C32</f>
        <v>0</v>
      </c>
      <c r="D93" s="96">
        <f>E93+F93+G93+I93</f>
        <v>0</v>
      </c>
      <c r="E93" s="96">
        <f t="shared" si="10"/>
        <v>0</v>
      </c>
      <c r="F93" s="96"/>
      <c r="G93" s="96">
        <f t="shared" si="10"/>
        <v>0</v>
      </c>
      <c r="H93" s="178">
        <v>0.3</v>
      </c>
      <c r="I93" s="96">
        <f>I69</f>
        <v>0</v>
      </c>
      <c r="J93" s="179" t="s">
        <v>37</v>
      </c>
      <c r="K93" s="96">
        <f>K69</f>
        <v>0</v>
      </c>
    </row>
    <row r="94" spans="2:16" x14ac:dyDescent="0.25">
      <c r="B94" s="171" t="s">
        <v>501</v>
      </c>
      <c r="C94" s="96">
        <f>C33</f>
        <v>0</v>
      </c>
      <c r="D94" s="96">
        <f>E94+F94+G94+I94</f>
        <v>0</v>
      </c>
      <c r="E94" s="96">
        <f t="shared" si="10"/>
        <v>0</v>
      </c>
      <c r="F94" s="96"/>
      <c r="G94" s="96">
        <f t="shared" si="10"/>
        <v>0</v>
      </c>
      <c r="H94" s="178">
        <v>0.3</v>
      </c>
      <c r="I94" s="96">
        <f>I70</f>
        <v>0</v>
      </c>
      <c r="J94" s="179" t="s">
        <v>37</v>
      </c>
      <c r="K94" s="96">
        <f>K70</f>
        <v>0</v>
      </c>
    </row>
    <row r="95" spans="2:16" x14ac:dyDescent="0.25">
      <c r="B95" s="172" t="s">
        <v>454</v>
      </c>
      <c r="C95" s="96">
        <f>SUM(C91:C94)</f>
        <v>0</v>
      </c>
      <c r="D95" s="179" t="s">
        <v>37</v>
      </c>
      <c r="E95" s="179" t="s">
        <v>37</v>
      </c>
      <c r="F95" s="179" t="s">
        <v>37</v>
      </c>
      <c r="G95" s="179" t="s">
        <v>37</v>
      </c>
      <c r="H95" s="179" t="s">
        <v>37</v>
      </c>
      <c r="I95" s="179" t="s">
        <v>37</v>
      </c>
      <c r="J95" s="96" t="e">
        <f>K18</f>
        <v>#REF!</v>
      </c>
      <c r="K95" s="96" t="e">
        <f>SUM(K91:K94)+J95</f>
        <v>#REF!</v>
      </c>
      <c r="O95" s="103" t="e">
        <f>H18+K18</f>
        <v>#REF!</v>
      </c>
      <c r="P95" s="132" t="e">
        <f>K95-O95</f>
        <v>#REF!</v>
      </c>
    </row>
    <row r="97" spans="2:16" x14ac:dyDescent="0.25">
      <c r="C97" s="176" t="s">
        <v>483</v>
      </c>
      <c r="D97" s="28">
        <f>$E$15</f>
        <v>2026</v>
      </c>
      <c r="E97" s="28"/>
      <c r="G97" s="177" t="str">
        <f>B19</f>
        <v>Оказание услуг (выполнение работ) на платной основе</v>
      </c>
    </row>
    <row r="98" spans="2:16" x14ac:dyDescent="0.25">
      <c r="B98" s="966" t="s">
        <v>485</v>
      </c>
      <c r="C98" s="966" t="s">
        <v>486</v>
      </c>
      <c r="D98" s="966" t="s">
        <v>487</v>
      </c>
      <c r="E98" s="966"/>
      <c r="F98" s="966"/>
      <c r="G98" s="966"/>
      <c r="H98" s="966"/>
      <c r="I98" s="966"/>
      <c r="J98" s="966" t="s">
        <v>488</v>
      </c>
      <c r="K98" s="966" t="s">
        <v>489</v>
      </c>
    </row>
    <row r="99" spans="2:16" x14ac:dyDescent="0.25">
      <c r="B99" s="966"/>
      <c r="C99" s="966"/>
      <c r="D99" s="966" t="s">
        <v>393</v>
      </c>
      <c r="E99" s="966" t="s">
        <v>490</v>
      </c>
      <c r="F99" s="966"/>
      <c r="G99" s="966"/>
      <c r="H99" s="966"/>
      <c r="I99" s="966"/>
      <c r="J99" s="966"/>
      <c r="K99" s="966"/>
    </row>
    <row r="100" spans="2:16" x14ac:dyDescent="0.25">
      <c r="B100" s="966"/>
      <c r="C100" s="966"/>
      <c r="D100" s="966"/>
      <c r="E100" s="966" t="s">
        <v>491</v>
      </c>
      <c r="F100" s="966" t="s">
        <v>492</v>
      </c>
      <c r="G100" s="966" t="s">
        <v>493</v>
      </c>
      <c r="H100" s="966" t="s">
        <v>494</v>
      </c>
      <c r="I100" s="966"/>
      <c r="J100" s="966"/>
      <c r="K100" s="966"/>
    </row>
    <row r="101" spans="2:16" x14ac:dyDescent="0.25">
      <c r="B101" s="966"/>
      <c r="C101" s="966"/>
      <c r="D101" s="966"/>
      <c r="E101" s="966"/>
      <c r="F101" s="966"/>
      <c r="G101" s="966"/>
      <c r="H101" s="171" t="s">
        <v>495</v>
      </c>
      <c r="I101" s="171" t="s">
        <v>496</v>
      </c>
      <c r="J101" s="966"/>
      <c r="K101" s="966"/>
    </row>
    <row r="102" spans="2:16" x14ac:dyDescent="0.25">
      <c r="B102" s="167">
        <v>1</v>
      </c>
      <c r="C102" s="167">
        <f>B102+1</f>
        <v>2</v>
      </c>
      <c r="D102" s="167">
        <f t="shared" ref="D102:K102" si="11">C102+1</f>
        <v>3</v>
      </c>
      <c r="E102" s="167">
        <f t="shared" si="11"/>
        <v>4</v>
      </c>
      <c r="F102" s="167">
        <f t="shared" si="11"/>
        <v>5</v>
      </c>
      <c r="G102" s="167">
        <f t="shared" si="11"/>
        <v>6</v>
      </c>
      <c r="H102" s="167">
        <f t="shared" si="11"/>
        <v>7</v>
      </c>
      <c r="I102" s="167">
        <f t="shared" si="11"/>
        <v>8</v>
      </c>
      <c r="J102" s="167">
        <f t="shared" si="11"/>
        <v>9</v>
      </c>
      <c r="K102" s="167">
        <f t="shared" si="11"/>
        <v>10</v>
      </c>
    </row>
    <row r="103" spans="2:16" x14ac:dyDescent="0.25">
      <c r="B103" s="171" t="s">
        <v>497</v>
      </c>
      <c r="C103" s="96">
        <f>C42</f>
        <v>0</v>
      </c>
      <c r="D103" s="96">
        <f>E103+F103+G103+I103</f>
        <v>0</v>
      </c>
      <c r="E103" s="96"/>
      <c r="F103" s="96"/>
      <c r="G103" s="96">
        <f>G79</f>
        <v>0</v>
      </c>
      <c r="H103" s="178">
        <v>0.3</v>
      </c>
      <c r="I103" s="96">
        <f>I79</f>
        <v>0</v>
      </c>
      <c r="J103" s="179" t="s">
        <v>37</v>
      </c>
      <c r="K103" s="96">
        <f>K79</f>
        <v>0</v>
      </c>
    </row>
    <row r="104" spans="2:16" x14ac:dyDescent="0.25">
      <c r="B104" s="171" t="s">
        <v>686</v>
      </c>
      <c r="C104" s="96">
        <f>C43</f>
        <v>0</v>
      </c>
      <c r="D104" s="96">
        <f>E104+F104+G104+I104</f>
        <v>0</v>
      </c>
      <c r="E104" s="96"/>
      <c r="F104" s="96"/>
      <c r="G104" s="96">
        <f>G80</f>
        <v>0</v>
      </c>
      <c r="H104" s="178">
        <v>0.3</v>
      </c>
      <c r="I104" s="96">
        <f>I80</f>
        <v>0</v>
      </c>
      <c r="J104" s="179" t="s">
        <v>37</v>
      </c>
      <c r="K104" s="96">
        <f>K80</f>
        <v>0</v>
      </c>
    </row>
    <row r="105" spans="2:16" x14ac:dyDescent="0.25">
      <c r="B105" s="171" t="s">
        <v>687</v>
      </c>
      <c r="C105" s="96">
        <f>C44</f>
        <v>0</v>
      </c>
      <c r="D105" s="96">
        <f>E105+F105+G105+I105</f>
        <v>0</v>
      </c>
      <c r="E105" s="96"/>
      <c r="F105" s="96"/>
      <c r="G105" s="96">
        <f>G81</f>
        <v>0</v>
      </c>
      <c r="H105" s="178">
        <v>0.3</v>
      </c>
      <c r="I105" s="96">
        <f>I81</f>
        <v>0</v>
      </c>
      <c r="J105" s="179" t="s">
        <v>37</v>
      </c>
      <c r="K105" s="96">
        <f>K81</f>
        <v>0</v>
      </c>
    </row>
    <row r="106" spans="2:16" x14ac:dyDescent="0.25">
      <c r="B106" s="171" t="s">
        <v>501</v>
      </c>
      <c r="C106" s="96">
        <f>C45</f>
        <v>0</v>
      </c>
      <c r="D106" s="96">
        <f>E106+F106+G106+I106</f>
        <v>0</v>
      </c>
      <c r="E106" s="96"/>
      <c r="F106" s="96"/>
      <c r="G106" s="96">
        <f>G82</f>
        <v>0</v>
      </c>
      <c r="H106" s="178">
        <v>0.3</v>
      </c>
      <c r="I106" s="96">
        <f>I82</f>
        <v>0</v>
      </c>
      <c r="J106" s="179" t="s">
        <v>37</v>
      </c>
      <c r="K106" s="96">
        <f>K82</f>
        <v>0</v>
      </c>
    </row>
    <row r="107" spans="2:16" x14ac:dyDescent="0.25">
      <c r="B107" s="172" t="s">
        <v>454</v>
      </c>
      <c r="C107" s="96">
        <f>SUM(C103:C106)</f>
        <v>0</v>
      </c>
      <c r="D107" s="179" t="s">
        <v>37</v>
      </c>
      <c r="E107" s="179" t="s">
        <v>37</v>
      </c>
      <c r="F107" s="179" t="s">
        <v>37</v>
      </c>
      <c r="G107" s="179" t="s">
        <v>37</v>
      </c>
      <c r="H107" s="179" t="s">
        <v>37</v>
      </c>
      <c r="I107" s="179" t="s">
        <v>37</v>
      </c>
      <c r="J107" s="96"/>
      <c r="K107" s="96">
        <f>SUM(K103:K106)+J107</f>
        <v>0</v>
      </c>
      <c r="O107" s="103">
        <f>H19</f>
        <v>311074</v>
      </c>
      <c r="P107" s="132">
        <f>K107-O107</f>
        <v>-311074</v>
      </c>
    </row>
    <row r="109" spans="2:16" x14ac:dyDescent="0.25">
      <c r="C109" s="28" t="s">
        <v>502</v>
      </c>
      <c r="G109" s="177" t="str">
        <f>B18</f>
        <v xml:space="preserve">Субсидии на финансовое обеспечение выполнения муниципального задания </v>
      </c>
    </row>
    <row r="110" spans="2:16" x14ac:dyDescent="0.25">
      <c r="B110" s="964" t="s">
        <v>29</v>
      </c>
      <c r="C110" s="964"/>
      <c r="D110" s="964" t="s">
        <v>503</v>
      </c>
      <c r="E110" s="964"/>
      <c r="F110" s="964"/>
      <c r="G110" s="964" t="s">
        <v>504</v>
      </c>
      <c r="H110" s="964"/>
      <c r="I110" s="964"/>
    </row>
    <row r="111" spans="2:16" ht="33" customHeight="1" x14ac:dyDescent="0.25">
      <c r="B111" s="964"/>
      <c r="C111" s="964"/>
      <c r="D111" s="965" t="s">
        <v>851</v>
      </c>
      <c r="E111" s="965" t="s">
        <v>852</v>
      </c>
      <c r="F111" s="965" t="s">
        <v>853</v>
      </c>
      <c r="G111" s="965" t="str">
        <f>D111</f>
        <v>на 2023 г. текущий финансовый год</v>
      </c>
      <c r="H111" s="965" t="str">
        <f>E111</f>
        <v>на 2024 г. первый год планового периода</v>
      </c>
      <c r="I111" s="965" t="str">
        <f>F111</f>
        <v>на 2025 г. второй год планового периода</v>
      </c>
    </row>
    <row r="112" spans="2:16" ht="33" customHeight="1" x14ac:dyDescent="0.25">
      <c r="B112" s="964"/>
      <c r="C112" s="964"/>
      <c r="D112" s="965"/>
      <c r="E112" s="965"/>
      <c r="F112" s="965"/>
      <c r="G112" s="965"/>
      <c r="H112" s="965"/>
      <c r="I112" s="965"/>
    </row>
    <row r="113" spans="2:18" s="28" customFormat="1" ht="75.75" customHeight="1" x14ac:dyDescent="0.25">
      <c r="B113" s="986" t="s">
        <v>872</v>
      </c>
      <c r="C113" s="986"/>
      <c r="D113" s="606" t="s">
        <v>37</v>
      </c>
      <c r="E113" s="606" t="s">
        <v>37</v>
      </c>
      <c r="F113" s="606" t="s">
        <v>37</v>
      </c>
      <c r="G113" s="607" t="e">
        <f>SUM(G114,G115,G116,G118)</f>
        <v>#REF!</v>
      </c>
      <c r="H113" s="607" t="e">
        <f>SUM(H114,H115,H116,H118)</f>
        <v>#REF!</v>
      </c>
      <c r="I113" s="607" t="e">
        <f>SUM(I114,I115,I116,I118)</f>
        <v>#REF!</v>
      </c>
    </row>
    <row r="114" spans="2:18" ht="45" customHeight="1" x14ac:dyDescent="0.25">
      <c r="B114" s="985" t="s">
        <v>873</v>
      </c>
      <c r="C114" s="985"/>
      <c r="D114" s="587" t="e">
        <f>L18*100%/30.2%</f>
        <v>#REF!</v>
      </c>
      <c r="E114" s="587" t="e">
        <f>M18*100%/30.2%</f>
        <v>#REF!</v>
      </c>
      <c r="F114" s="587" t="e">
        <f>N18*100%/30.2%</f>
        <v>#REF!</v>
      </c>
      <c r="G114" s="587" t="e">
        <f>D114*30%</f>
        <v>#REF!</v>
      </c>
      <c r="H114" s="587" t="e">
        <f>E114*30%</f>
        <v>#REF!</v>
      </c>
      <c r="I114" s="587" t="e">
        <f>F114*30%</f>
        <v>#REF!</v>
      </c>
    </row>
    <row r="115" spans="2:18" ht="30" customHeight="1" x14ac:dyDescent="0.25">
      <c r="B115" s="985" t="s">
        <v>874</v>
      </c>
      <c r="C115" s="985"/>
      <c r="D115" s="587"/>
      <c r="E115" s="587"/>
      <c r="F115" s="587"/>
      <c r="G115" s="587"/>
      <c r="H115" s="587"/>
      <c r="I115" s="587"/>
    </row>
    <row r="116" spans="2:18" ht="30" customHeight="1" x14ac:dyDescent="0.25">
      <c r="B116" s="985" t="s">
        <v>875</v>
      </c>
      <c r="C116" s="985"/>
      <c r="D116" s="608" t="s">
        <v>37</v>
      </c>
      <c r="E116" s="608" t="s">
        <v>37</v>
      </c>
      <c r="F116" s="608" t="s">
        <v>37</v>
      </c>
      <c r="G116" s="587">
        <f>SUM(G117:G117)</f>
        <v>0</v>
      </c>
      <c r="H116" s="587">
        <f>SUM(H117:H117)</f>
        <v>0</v>
      </c>
      <c r="I116" s="587">
        <f>SUM(I117:I117)</f>
        <v>0</v>
      </c>
    </row>
    <row r="117" spans="2:18" ht="30" customHeight="1" x14ac:dyDescent="0.25">
      <c r="B117" s="985" t="s">
        <v>876</v>
      </c>
      <c r="C117" s="985"/>
      <c r="D117" s="587"/>
      <c r="E117" s="587"/>
      <c r="F117" s="587"/>
      <c r="G117" s="587"/>
      <c r="H117" s="587"/>
      <c r="I117" s="587"/>
    </row>
    <row r="118" spans="2:18" ht="15" customHeight="1" x14ac:dyDescent="0.25">
      <c r="B118" s="985" t="s">
        <v>877</v>
      </c>
      <c r="C118" s="985"/>
      <c r="D118" s="608" t="s">
        <v>37</v>
      </c>
      <c r="E118" s="608" t="s">
        <v>37</v>
      </c>
      <c r="F118" s="608" t="s">
        <v>37</v>
      </c>
      <c r="G118" s="587">
        <f>SUM(G119:G119)</f>
        <v>0</v>
      </c>
      <c r="H118" s="587">
        <f>SUM(H119:H119)</f>
        <v>0</v>
      </c>
      <c r="I118" s="587">
        <f>SUM(I119:I119)</f>
        <v>0</v>
      </c>
    </row>
    <row r="119" spans="2:18" ht="30" customHeight="1" x14ac:dyDescent="0.25">
      <c r="B119" s="985" t="s">
        <v>876</v>
      </c>
      <c r="C119" s="985"/>
      <c r="D119" s="587"/>
      <c r="E119" s="587"/>
      <c r="F119" s="587"/>
      <c r="G119" s="587"/>
      <c r="H119" s="587"/>
      <c r="I119" s="587"/>
    </row>
    <row r="120" spans="2:18" ht="60.75" customHeight="1" x14ac:dyDescent="0.25">
      <c r="B120" s="986" t="s">
        <v>505</v>
      </c>
      <c r="C120" s="986"/>
      <c r="D120" s="607"/>
      <c r="E120" s="607"/>
      <c r="F120" s="607"/>
      <c r="G120" s="607" t="e">
        <f>SUM(G121,G122)</f>
        <v>#REF!</v>
      </c>
      <c r="H120" s="607" t="e">
        <f>SUM(H121,H122)</f>
        <v>#REF!</v>
      </c>
      <c r="I120" s="607" t="e">
        <f>SUM(I121,I122)</f>
        <v>#REF!</v>
      </c>
    </row>
    <row r="121" spans="2:18" ht="60.75" customHeight="1" x14ac:dyDescent="0.25">
      <c r="B121" s="985" t="s">
        <v>506</v>
      </c>
      <c r="C121" s="985"/>
      <c r="D121" s="587" t="e">
        <f>D114</f>
        <v>#REF!</v>
      </c>
      <c r="E121" s="587" t="e">
        <f>E114</f>
        <v>#REF!</v>
      </c>
      <c r="F121" s="587" t="e">
        <f>F114</f>
        <v>#REF!</v>
      </c>
      <c r="G121" s="587" t="e">
        <f>D121*0.2%</f>
        <v>#REF!</v>
      </c>
      <c r="H121" s="587" t="e">
        <f>E121*0.2%</f>
        <v>#REF!</v>
      </c>
      <c r="I121" s="587" t="e">
        <f>F121*0.2%</f>
        <v>#REF!</v>
      </c>
    </row>
    <row r="122" spans="2:18" s="28" customFormat="1" ht="45.75" customHeight="1" x14ac:dyDescent="0.25">
      <c r="B122" s="985" t="s">
        <v>507</v>
      </c>
      <c r="C122" s="985"/>
      <c r="D122" s="587"/>
      <c r="E122" s="587"/>
      <c r="F122" s="587"/>
      <c r="G122" s="587"/>
      <c r="H122" s="587"/>
      <c r="I122" s="587"/>
    </row>
    <row r="123" spans="2:18" ht="29.25" customHeight="1" x14ac:dyDescent="0.25">
      <c r="B123" s="986" t="s">
        <v>508</v>
      </c>
      <c r="C123" s="986"/>
      <c r="D123" s="606" t="s">
        <v>37</v>
      </c>
      <c r="E123" s="606" t="s">
        <v>37</v>
      </c>
      <c r="F123" s="606" t="s">
        <v>37</v>
      </c>
      <c r="G123" s="607">
        <f>SUM(G124:G125)</f>
        <v>0</v>
      </c>
      <c r="H123" s="607">
        <f>SUM(H124:H125)</f>
        <v>0</v>
      </c>
      <c r="I123" s="607">
        <f>SUM(I124:I125)</f>
        <v>0</v>
      </c>
    </row>
    <row r="124" spans="2:18" ht="30" customHeight="1" x14ac:dyDescent="0.25">
      <c r="B124" s="985" t="s">
        <v>509</v>
      </c>
      <c r="C124" s="985"/>
      <c r="D124" s="608" t="s">
        <v>37</v>
      </c>
      <c r="E124" s="608" t="s">
        <v>37</v>
      </c>
      <c r="F124" s="608" t="s">
        <v>37</v>
      </c>
      <c r="G124" s="587"/>
      <c r="H124" s="587"/>
      <c r="I124" s="587"/>
    </row>
    <row r="125" spans="2:18" x14ac:dyDescent="0.25">
      <c r="B125" s="985" t="s">
        <v>510</v>
      </c>
      <c r="C125" s="985"/>
      <c r="D125" s="608" t="s">
        <v>37</v>
      </c>
      <c r="E125" s="608" t="s">
        <v>37</v>
      </c>
      <c r="F125" s="608" t="s">
        <v>37</v>
      </c>
      <c r="G125" s="607"/>
      <c r="H125" s="587"/>
      <c r="I125" s="587"/>
    </row>
    <row r="126" spans="2:18" x14ac:dyDescent="0.25">
      <c r="B126" s="987" t="s">
        <v>454</v>
      </c>
      <c r="C126" s="988"/>
      <c r="D126" s="606" t="s">
        <v>37</v>
      </c>
      <c r="E126" s="606" t="s">
        <v>37</v>
      </c>
      <c r="F126" s="606" t="s">
        <v>37</v>
      </c>
      <c r="G126" s="607" t="e">
        <f>SUM(G123,G120,G113)</f>
        <v>#REF!</v>
      </c>
      <c r="H126" s="607" t="e">
        <f>SUM(H123,H120,H113)</f>
        <v>#REF!</v>
      </c>
      <c r="I126" s="607" t="e">
        <f>SUM(I123,I120,I113)</f>
        <v>#REF!</v>
      </c>
      <c r="P126" s="378" t="e">
        <f>L18-G126</f>
        <v>#REF!</v>
      </c>
      <c r="Q126" s="378" t="e">
        <f>M18-H126</f>
        <v>#REF!</v>
      </c>
      <c r="R126" s="378" t="e">
        <f>N18-I126</f>
        <v>#REF!</v>
      </c>
    </row>
    <row r="128" spans="2:18" x14ac:dyDescent="0.25">
      <c r="C128" s="28" t="s">
        <v>502</v>
      </c>
      <c r="G128" s="177" t="str">
        <f>B19</f>
        <v>Оказание услуг (выполнение работ) на платной основе</v>
      </c>
    </row>
    <row r="129" spans="2:9" x14ac:dyDescent="0.25">
      <c r="B129" s="964" t="s">
        <v>29</v>
      </c>
      <c r="C129" s="964"/>
      <c r="D129" s="964" t="s">
        <v>503</v>
      </c>
      <c r="E129" s="964"/>
      <c r="F129" s="964"/>
      <c r="G129" s="964" t="s">
        <v>504</v>
      </c>
      <c r="H129" s="964"/>
      <c r="I129" s="964"/>
    </row>
    <row r="130" spans="2:9" ht="33" customHeight="1" x14ac:dyDescent="0.25">
      <c r="B130" s="964"/>
      <c r="C130" s="964"/>
      <c r="D130" s="965" t="s">
        <v>851</v>
      </c>
      <c r="E130" s="965" t="s">
        <v>852</v>
      </c>
      <c r="F130" s="965" t="s">
        <v>853</v>
      </c>
      <c r="G130" s="965" t="str">
        <f>D130</f>
        <v>на 2023 г. текущий финансовый год</v>
      </c>
      <c r="H130" s="965" t="str">
        <f>E130</f>
        <v>на 2024 г. первый год планового периода</v>
      </c>
      <c r="I130" s="965" t="str">
        <f>F130</f>
        <v>на 2025 г. второй год планового периода</v>
      </c>
    </row>
    <row r="131" spans="2:9" ht="33" customHeight="1" x14ac:dyDescent="0.25">
      <c r="B131" s="964"/>
      <c r="C131" s="964"/>
      <c r="D131" s="965"/>
      <c r="E131" s="965"/>
      <c r="F131" s="965"/>
      <c r="G131" s="965"/>
      <c r="H131" s="965"/>
      <c r="I131" s="965"/>
    </row>
    <row r="132" spans="2:9" s="28" customFormat="1" ht="75" customHeight="1" x14ac:dyDescent="0.25">
      <c r="B132" s="986" t="s">
        <v>872</v>
      </c>
      <c r="C132" s="986"/>
      <c r="D132" s="606" t="s">
        <v>37</v>
      </c>
      <c r="E132" s="606" t="s">
        <v>37</v>
      </c>
      <c r="F132" s="606" t="s">
        <v>37</v>
      </c>
      <c r="G132" s="607">
        <f>SUM(G133,G134,G135,G137)</f>
        <v>114274.29</v>
      </c>
      <c r="H132" s="607">
        <f>SUM(H133,H134,H135,H137)</f>
        <v>93621.86</v>
      </c>
      <c r="I132" s="607">
        <f>SUM(I133,I134,I135,I137)</f>
        <v>93621.86</v>
      </c>
    </row>
    <row r="133" spans="2:9" ht="45" customHeight="1" x14ac:dyDescent="0.25">
      <c r="B133" s="985" t="s">
        <v>873</v>
      </c>
      <c r="C133" s="985"/>
      <c r="D133" s="587">
        <f>L19*100%/30.2%</f>
        <v>380914.3</v>
      </c>
      <c r="E133" s="587">
        <f>M19*100%/30.2%</f>
        <v>312072.84999999998</v>
      </c>
      <c r="F133" s="587">
        <f>N19*100%/30.2%</f>
        <v>312072.84999999998</v>
      </c>
      <c r="G133" s="587">
        <f>D133*30%</f>
        <v>114274.29</v>
      </c>
      <c r="H133" s="587">
        <f>E133*30%</f>
        <v>93621.86</v>
      </c>
      <c r="I133" s="587">
        <f>F133*30%</f>
        <v>93621.86</v>
      </c>
    </row>
    <row r="134" spans="2:9" ht="30" customHeight="1" x14ac:dyDescent="0.25">
      <c r="B134" s="985" t="s">
        <v>874</v>
      </c>
      <c r="C134" s="985"/>
      <c r="D134" s="587"/>
      <c r="E134" s="587"/>
      <c r="F134" s="587"/>
      <c r="G134" s="587"/>
      <c r="H134" s="587"/>
      <c r="I134" s="587"/>
    </row>
    <row r="135" spans="2:9" ht="30" customHeight="1" x14ac:dyDescent="0.25">
      <c r="B135" s="985" t="s">
        <v>875</v>
      </c>
      <c r="C135" s="985"/>
      <c r="D135" s="608" t="s">
        <v>37</v>
      </c>
      <c r="E135" s="608" t="s">
        <v>37</v>
      </c>
      <c r="F135" s="608" t="s">
        <v>37</v>
      </c>
      <c r="G135" s="587">
        <f>SUM(G136:G136)</f>
        <v>0</v>
      </c>
      <c r="H135" s="587">
        <f>SUM(H136:H136)</f>
        <v>0</v>
      </c>
      <c r="I135" s="587">
        <f>SUM(I136:I136)</f>
        <v>0</v>
      </c>
    </row>
    <row r="136" spans="2:9" ht="30" customHeight="1" x14ac:dyDescent="0.25">
      <c r="B136" s="985" t="s">
        <v>876</v>
      </c>
      <c r="C136" s="985"/>
      <c r="D136" s="587"/>
      <c r="E136" s="587"/>
      <c r="F136" s="587"/>
      <c r="G136" s="587"/>
      <c r="H136" s="587"/>
      <c r="I136" s="587"/>
    </row>
    <row r="137" spans="2:9" ht="30" customHeight="1" x14ac:dyDescent="0.25">
      <c r="B137" s="985" t="s">
        <v>877</v>
      </c>
      <c r="C137" s="985"/>
      <c r="D137" s="608" t="s">
        <v>37</v>
      </c>
      <c r="E137" s="608" t="s">
        <v>37</v>
      </c>
      <c r="F137" s="608" t="s">
        <v>37</v>
      </c>
      <c r="G137" s="587">
        <f>SUM(G138:G138)</f>
        <v>0</v>
      </c>
      <c r="H137" s="587">
        <f>SUM(H138:H138)</f>
        <v>0</v>
      </c>
      <c r="I137" s="587">
        <f>SUM(I138:I138)</f>
        <v>0</v>
      </c>
    </row>
    <row r="138" spans="2:9" ht="30" customHeight="1" x14ac:dyDescent="0.25">
      <c r="B138" s="985" t="s">
        <v>876</v>
      </c>
      <c r="C138" s="985"/>
      <c r="D138" s="587"/>
      <c r="E138" s="587"/>
      <c r="F138" s="587"/>
      <c r="G138" s="587"/>
      <c r="H138" s="587"/>
      <c r="I138" s="587"/>
    </row>
    <row r="139" spans="2:9" ht="60" customHeight="1" x14ac:dyDescent="0.25">
      <c r="B139" s="986" t="s">
        <v>505</v>
      </c>
      <c r="C139" s="986"/>
      <c r="D139" s="607"/>
      <c r="E139" s="607"/>
      <c r="F139" s="607"/>
      <c r="G139" s="607">
        <f>SUM(G140,G141)</f>
        <v>761.83</v>
      </c>
      <c r="H139" s="607">
        <f>SUM(H140,H141)</f>
        <v>624.15</v>
      </c>
      <c r="I139" s="607">
        <f>SUM(I140,I141)</f>
        <v>624.15</v>
      </c>
    </row>
    <row r="140" spans="2:9" ht="60" customHeight="1" x14ac:dyDescent="0.25">
      <c r="B140" s="985" t="s">
        <v>506</v>
      </c>
      <c r="C140" s="985"/>
      <c r="D140" s="587">
        <f>D133</f>
        <v>380914.3</v>
      </c>
      <c r="E140" s="587">
        <f>E133</f>
        <v>312072.84999999998</v>
      </c>
      <c r="F140" s="587">
        <f>F133</f>
        <v>312072.84999999998</v>
      </c>
      <c r="G140" s="587">
        <f>D140*0.2%</f>
        <v>761.83</v>
      </c>
      <c r="H140" s="587">
        <f>E140*0.2%</f>
        <v>624.15</v>
      </c>
      <c r="I140" s="587">
        <f>F140*0.2%</f>
        <v>624.15</v>
      </c>
    </row>
    <row r="141" spans="2:9" s="28" customFormat="1" ht="45.75" customHeight="1" x14ac:dyDescent="0.25">
      <c r="B141" s="985" t="s">
        <v>507</v>
      </c>
      <c r="C141" s="985"/>
      <c r="D141" s="587"/>
      <c r="E141" s="587"/>
      <c r="F141" s="587"/>
      <c r="G141" s="587"/>
      <c r="H141" s="587"/>
      <c r="I141" s="587"/>
    </row>
    <row r="142" spans="2:9" ht="29.25" customHeight="1" x14ac:dyDescent="0.25">
      <c r="B142" s="986" t="s">
        <v>508</v>
      </c>
      <c r="C142" s="986"/>
      <c r="D142" s="606" t="s">
        <v>37</v>
      </c>
      <c r="E142" s="606" t="s">
        <v>37</v>
      </c>
      <c r="F142" s="606" t="s">
        <v>37</v>
      </c>
      <c r="G142" s="607">
        <f>SUM(G143:G144)</f>
        <v>0</v>
      </c>
      <c r="H142" s="607">
        <f>SUM(H143:H144)</f>
        <v>0</v>
      </c>
      <c r="I142" s="607">
        <f>SUM(I143:I144)</f>
        <v>0</v>
      </c>
    </row>
    <row r="143" spans="2:9" ht="29.25" customHeight="1" x14ac:dyDescent="0.25">
      <c r="B143" s="985" t="s">
        <v>509</v>
      </c>
      <c r="C143" s="985"/>
      <c r="D143" s="608" t="s">
        <v>37</v>
      </c>
      <c r="E143" s="608" t="s">
        <v>37</v>
      </c>
      <c r="F143" s="608" t="s">
        <v>37</v>
      </c>
      <c r="G143" s="587"/>
      <c r="H143" s="587"/>
      <c r="I143" s="587"/>
    </row>
    <row r="144" spans="2:9" x14ac:dyDescent="0.25">
      <c r="B144" s="985" t="s">
        <v>510</v>
      </c>
      <c r="C144" s="985"/>
      <c r="D144" s="608" t="s">
        <v>37</v>
      </c>
      <c r="E144" s="608" t="s">
        <v>37</v>
      </c>
      <c r="F144" s="608" t="s">
        <v>37</v>
      </c>
      <c r="G144" s="607"/>
      <c r="H144" s="587"/>
      <c r="I144" s="587"/>
    </row>
    <row r="145" spans="2:9" x14ac:dyDescent="0.25">
      <c r="B145" s="987" t="s">
        <v>454</v>
      </c>
      <c r="C145" s="988"/>
      <c r="D145" s="606" t="s">
        <v>37</v>
      </c>
      <c r="E145" s="606" t="s">
        <v>37</v>
      </c>
      <c r="F145" s="606" t="s">
        <v>37</v>
      </c>
      <c r="G145" s="607">
        <f>SUM(G142,G139,G132)</f>
        <v>115036.12</v>
      </c>
      <c r="H145" s="607">
        <f>SUM(H142,H139,H132)</f>
        <v>94246.01</v>
      </c>
      <c r="I145" s="607">
        <f>SUM(I142,I139,I132)</f>
        <v>94246.01</v>
      </c>
    </row>
    <row r="147" spans="2:9" x14ac:dyDescent="0.25">
      <c r="C147" s="28" t="s">
        <v>502</v>
      </c>
      <c r="G147" s="177" t="str">
        <f>B20</f>
        <v>Целевые субсидии</v>
      </c>
    </row>
    <row r="148" spans="2:9" x14ac:dyDescent="0.25">
      <c r="B148" s="964" t="s">
        <v>29</v>
      </c>
      <c r="C148" s="964"/>
      <c r="D148" s="964" t="s">
        <v>503</v>
      </c>
      <c r="E148" s="964"/>
      <c r="F148" s="964"/>
      <c r="G148" s="964" t="s">
        <v>504</v>
      </c>
      <c r="H148" s="964"/>
      <c r="I148" s="964"/>
    </row>
    <row r="149" spans="2:9" ht="33" customHeight="1" x14ac:dyDescent="0.25">
      <c r="B149" s="964"/>
      <c r="C149" s="964"/>
      <c r="D149" s="965" t="s">
        <v>851</v>
      </c>
      <c r="E149" s="965" t="s">
        <v>852</v>
      </c>
      <c r="F149" s="965" t="s">
        <v>853</v>
      </c>
      <c r="G149" s="965" t="str">
        <f>D149</f>
        <v>на 2023 г. текущий финансовый год</v>
      </c>
      <c r="H149" s="965" t="str">
        <f>E149</f>
        <v>на 2024 г. первый год планового периода</v>
      </c>
      <c r="I149" s="965" t="str">
        <f>F149</f>
        <v>на 2025 г. второй год планового периода</v>
      </c>
    </row>
    <row r="150" spans="2:9" ht="33" customHeight="1" x14ac:dyDescent="0.25">
      <c r="B150" s="964"/>
      <c r="C150" s="964"/>
      <c r="D150" s="965"/>
      <c r="E150" s="965"/>
      <c r="F150" s="965"/>
      <c r="G150" s="965"/>
      <c r="H150" s="965"/>
      <c r="I150" s="965"/>
    </row>
    <row r="151" spans="2:9" s="28" customFormat="1" ht="75" customHeight="1" x14ac:dyDescent="0.25">
      <c r="B151" s="986" t="s">
        <v>872</v>
      </c>
      <c r="C151" s="986"/>
      <c r="D151" s="606" t="s">
        <v>37</v>
      </c>
      <c r="E151" s="606" t="s">
        <v>37</v>
      </c>
      <c r="F151" s="606" t="s">
        <v>37</v>
      </c>
      <c r="G151" s="607">
        <f>SUM(G152,G153,G154,G156)</f>
        <v>0</v>
      </c>
      <c r="H151" s="607">
        <f>SUM(H152,H153,H154,H156)</f>
        <v>0</v>
      </c>
      <c r="I151" s="607">
        <f>SUM(I152,I153,I154,I156)</f>
        <v>0</v>
      </c>
    </row>
    <row r="152" spans="2:9" ht="45" customHeight="1" x14ac:dyDescent="0.25">
      <c r="B152" s="985" t="s">
        <v>873</v>
      </c>
      <c r="C152" s="985"/>
      <c r="D152" s="587">
        <f>L20*100%/30.2%</f>
        <v>0</v>
      </c>
      <c r="E152" s="587">
        <f>M20*100%/30.2%</f>
        <v>0</v>
      </c>
      <c r="F152" s="587">
        <f>N20*100%/30.2%</f>
        <v>0</v>
      </c>
      <c r="G152" s="587">
        <f>D152*30%</f>
        <v>0</v>
      </c>
      <c r="H152" s="587">
        <f>E152*30%</f>
        <v>0</v>
      </c>
      <c r="I152" s="587">
        <f>F152*30%</f>
        <v>0</v>
      </c>
    </row>
    <row r="153" spans="2:9" ht="30" customHeight="1" x14ac:dyDescent="0.25">
      <c r="B153" s="985" t="s">
        <v>874</v>
      </c>
      <c r="C153" s="985"/>
      <c r="D153" s="587"/>
      <c r="E153" s="587"/>
      <c r="F153" s="587"/>
      <c r="G153" s="587"/>
      <c r="H153" s="587"/>
      <c r="I153" s="587"/>
    </row>
    <row r="154" spans="2:9" ht="30" customHeight="1" x14ac:dyDescent="0.25">
      <c r="B154" s="985" t="s">
        <v>875</v>
      </c>
      <c r="C154" s="985"/>
      <c r="D154" s="608" t="s">
        <v>37</v>
      </c>
      <c r="E154" s="608" t="s">
        <v>37</v>
      </c>
      <c r="F154" s="608" t="s">
        <v>37</v>
      </c>
      <c r="G154" s="587">
        <f>SUM(G155:G155)</f>
        <v>0</v>
      </c>
      <c r="H154" s="587">
        <f>SUM(H155:H155)</f>
        <v>0</v>
      </c>
      <c r="I154" s="587">
        <f>SUM(I155:I155)</f>
        <v>0</v>
      </c>
    </row>
    <row r="155" spans="2:9" ht="30" customHeight="1" x14ac:dyDescent="0.25">
      <c r="B155" s="985" t="s">
        <v>876</v>
      </c>
      <c r="C155" s="985"/>
      <c r="D155" s="587"/>
      <c r="E155" s="587"/>
      <c r="F155" s="587"/>
      <c r="G155" s="587"/>
      <c r="H155" s="587"/>
      <c r="I155" s="587"/>
    </row>
    <row r="156" spans="2:9" ht="30" customHeight="1" x14ac:dyDescent="0.25">
      <c r="B156" s="985" t="s">
        <v>877</v>
      </c>
      <c r="C156" s="985"/>
      <c r="D156" s="608" t="s">
        <v>37</v>
      </c>
      <c r="E156" s="608" t="s">
        <v>37</v>
      </c>
      <c r="F156" s="608" t="s">
        <v>37</v>
      </c>
      <c r="G156" s="587">
        <f>SUM(G157:G157)</f>
        <v>0</v>
      </c>
      <c r="H156" s="587">
        <f>SUM(H157:H157)</f>
        <v>0</v>
      </c>
      <c r="I156" s="587">
        <f>SUM(I157:I157)</f>
        <v>0</v>
      </c>
    </row>
    <row r="157" spans="2:9" ht="30" customHeight="1" x14ac:dyDescent="0.25">
      <c r="B157" s="985" t="s">
        <v>876</v>
      </c>
      <c r="C157" s="985"/>
      <c r="D157" s="587"/>
      <c r="E157" s="587"/>
      <c r="F157" s="587"/>
      <c r="G157" s="587"/>
      <c r="H157" s="587"/>
      <c r="I157" s="587"/>
    </row>
    <row r="158" spans="2:9" ht="60" customHeight="1" x14ac:dyDescent="0.25">
      <c r="B158" s="986" t="s">
        <v>505</v>
      </c>
      <c r="C158" s="986"/>
      <c r="D158" s="607"/>
      <c r="E158" s="607"/>
      <c r="F158" s="607"/>
      <c r="G158" s="607">
        <f>SUM(G159,G160)</f>
        <v>0</v>
      </c>
      <c r="H158" s="607">
        <f>SUM(H159,H160)</f>
        <v>0</v>
      </c>
      <c r="I158" s="607">
        <f>SUM(I159,I160)</f>
        <v>0</v>
      </c>
    </row>
    <row r="159" spans="2:9" ht="60" customHeight="1" x14ac:dyDescent="0.25">
      <c r="B159" s="985" t="s">
        <v>506</v>
      </c>
      <c r="C159" s="985"/>
      <c r="D159" s="587">
        <f>D152</f>
        <v>0</v>
      </c>
      <c r="E159" s="587">
        <f>E152</f>
        <v>0</v>
      </c>
      <c r="F159" s="587">
        <f>F152</f>
        <v>0</v>
      </c>
      <c r="G159" s="587">
        <f>D159*0.2%</f>
        <v>0</v>
      </c>
      <c r="H159" s="587">
        <f>E159*0.2%</f>
        <v>0</v>
      </c>
      <c r="I159" s="587">
        <f>F159*0.2%</f>
        <v>0</v>
      </c>
    </row>
    <row r="160" spans="2:9" s="28" customFormat="1" ht="45.75" customHeight="1" x14ac:dyDescent="0.25">
      <c r="B160" s="985" t="s">
        <v>507</v>
      </c>
      <c r="C160" s="985"/>
      <c r="D160" s="587"/>
      <c r="E160" s="587"/>
      <c r="F160" s="587"/>
      <c r="G160" s="587"/>
      <c r="H160" s="587"/>
      <c r="I160" s="587"/>
    </row>
    <row r="161" spans="2:9" ht="29.25" customHeight="1" x14ac:dyDescent="0.25">
      <c r="B161" s="986" t="s">
        <v>508</v>
      </c>
      <c r="C161" s="986"/>
      <c r="D161" s="606" t="s">
        <v>37</v>
      </c>
      <c r="E161" s="606" t="s">
        <v>37</v>
      </c>
      <c r="F161" s="606" t="s">
        <v>37</v>
      </c>
      <c r="G161" s="607">
        <f>SUM(G162:G163)</f>
        <v>0</v>
      </c>
      <c r="H161" s="607">
        <f>SUM(H162:H163)</f>
        <v>0</v>
      </c>
      <c r="I161" s="607">
        <f>SUM(I162:I163)</f>
        <v>0</v>
      </c>
    </row>
    <row r="162" spans="2:9" ht="29.25" customHeight="1" x14ac:dyDescent="0.25">
      <c r="B162" s="985" t="s">
        <v>509</v>
      </c>
      <c r="C162" s="985"/>
      <c r="D162" s="608" t="s">
        <v>37</v>
      </c>
      <c r="E162" s="608" t="s">
        <v>37</v>
      </c>
      <c r="F162" s="608" t="s">
        <v>37</v>
      </c>
      <c r="G162" s="587"/>
      <c r="H162" s="587"/>
      <c r="I162" s="587"/>
    </row>
    <row r="163" spans="2:9" x14ac:dyDescent="0.25">
      <c r="B163" s="985" t="s">
        <v>510</v>
      </c>
      <c r="C163" s="985"/>
      <c r="D163" s="608" t="s">
        <v>37</v>
      </c>
      <c r="E163" s="608" t="s">
        <v>37</v>
      </c>
      <c r="F163" s="608" t="s">
        <v>37</v>
      </c>
      <c r="G163" s="607"/>
      <c r="H163" s="587"/>
      <c r="I163" s="587"/>
    </row>
    <row r="164" spans="2:9" x14ac:dyDescent="0.25">
      <c r="B164" s="987" t="s">
        <v>454</v>
      </c>
      <c r="C164" s="988"/>
      <c r="D164" s="606" t="s">
        <v>37</v>
      </c>
      <c r="E164" s="606" t="s">
        <v>37</v>
      </c>
      <c r="F164" s="606" t="s">
        <v>37</v>
      </c>
      <c r="G164" s="607">
        <f>SUM(G161,G158,G151)</f>
        <v>0</v>
      </c>
      <c r="H164" s="607">
        <f>SUM(H161,H158,H151)</f>
        <v>0</v>
      </c>
      <c r="I164" s="607">
        <f>SUM(I161,I158,I151)</f>
        <v>0</v>
      </c>
    </row>
  </sheetData>
  <mergeCells count="172">
    <mergeCell ref="L1:N1"/>
    <mergeCell ref="B162:C162"/>
    <mergeCell ref="B163:C163"/>
    <mergeCell ref="B164:C164"/>
    <mergeCell ref="B156:C156"/>
    <mergeCell ref="B157:C157"/>
    <mergeCell ref="B158:C158"/>
    <mergeCell ref="B159:C159"/>
    <mergeCell ref="B160:C160"/>
    <mergeCell ref="B161:C161"/>
    <mergeCell ref="I149:I150"/>
    <mergeCell ref="B151:C151"/>
    <mergeCell ref="B152:C152"/>
    <mergeCell ref="B154:C154"/>
    <mergeCell ref="B155:C155"/>
    <mergeCell ref="B148:C150"/>
    <mergeCell ref="D148:F148"/>
    <mergeCell ref="G148:I148"/>
    <mergeCell ref="D149:D150"/>
    <mergeCell ref="E149:E150"/>
    <mergeCell ref="F149:F150"/>
    <mergeCell ref="G149:G150"/>
    <mergeCell ref="H149:H150"/>
    <mergeCell ref="B138:C138"/>
    <mergeCell ref="B139:C139"/>
    <mergeCell ref="B140:C140"/>
    <mergeCell ref="B141:C141"/>
    <mergeCell ref="B142:C142"/>
    <mergeCell ref="B143:C143"/>
    <mergeCell ref="B144:C144"/>
    <mergeCell ref="B145:C145"/>
    <mergeCell ref="B153:C153"/>
    <mergeCell ref="B132:C132"/>
    <mergeCell ref="B133:C133"/>
    <mergeCell ref="B134:C134"/>
    <mergeCell ref="B135:C135"/>
    <mergeCell ref="B124:C124"/>
    <mergeCell ref="B125:C125"/>
    <mergeCell ref="B126:C126"/>
    <mergeCell ref="B136:C136"/>
    <mergeCell ref="B137:C137"/>
    <mergeCell ref="B129:C131"/>
    <mergeCell ref="B119:C119"/>
    <mergeCell ref="B120:C120"/>
    <mergeCell ref="B121:C121"/>
    <mergeCell ref="B122:C122"/>
    <mergeCell ref="B123:C123"/>
    <mergeCell ref="B113:C113"/>
    <mergeCell ref="B114:C114"/>
    <mergeCell ref="B115:C115"/>
    <mergeCell ref="B116:C116"/>
    <mergeCell ref="B117:C117"/>
    <mergeCell ref="B110:C112"/>
    <mergeCell ref="D110:F110"/>
    <mergeCell ref="G110:I110"/>
    <mergeCell ref="D111:D112"/>
    <mergeCell ref="E111:E112"/>
    <mergeCell ref="F111:F112"/>
    <mergeCell ref="G111:G112"/>
    <mergeCell ref="H111:H112"/>
    <mergeCell ref="B118:C118"/>
    <mergeCell ref="H88:I88"/>
    <mergeCell ref="B98:B101"/>
    <mergeCell ref="C98:C101"/>
    <mergeCell ref="D98:I98"/>
    <mergeCell ref="J98:J101"/>
    <mergeCell ref="K98:K101"/>
    <mergeCell ref="D99:D101"/>
    <mergeCell ref="E99:I99"/>
    <mergeCell ref="E100:E101"/>
    <mergeCell ref="F100:F101"/>
    <mergeCell ref="B86:B89"/>
    <mergeCell ref="C86:C89"/>
    <mergeCell ref="D86:I86"/>
    <mergeCell ref="J86:J89"/>
    <mergeCell ref="K86:K89"/>
    <mergeCell ref="D87:D89"/>
    <mergeCell ref="E87:I87"/>
    <mergeCell ref="E88:E89"/>
    <mergeCell ref="F88:F89"/>
    <mergeCell ref="G88:G89"/>
    <mergeCell ref="G100:G101"/>
    <mergeCell ref="H100:I100"/>
    <mergeCell ref="I111:I112"/>
    <mergeCell ref="K74:K77"/>
    <mergeCell ref="D75:D77"/>
    <mergeCell ref="E75:I75"/>
    <mergeCell ref="E76:E77"/>
    <mergeCell ref="F76:F77"/>
    <mergeCell ref="G76:G77"/>
    <mergeCell ref="H76:I76"/>
    <mergeCell ref="G64:G65"/>
    <mergeCell ref="H64:I64"/>
    <mergeCell ref="K62:K65"/>
    <mergeCell ref="J74:J77"/>
    <mergeCell ref="B62:B65"/>
    <mergeCell ref="C62:C65"/>
    <mergeCell ref="D62:I62"/>
    <mergeCell ref="J62:J65"/>
    <mergeCell ref="D63:D65"/>
    <mergeCell ref="E63:I63"/>
    <mergeCell ref="E64:E65"/>
    <mergeCell ref="F64:F65"/>
    <mergeCell ref="B49:B52"/>
    <mergeCell ref="C49:C52"/>
    <mergeCell ref="D49:I49"/>
    <mergeCell ref="J49:J52"/>
    <mergeCell ref="K15:K16"/>
    <mergeCell ref="D15:D16"/>
    <mergeCell ref="K49:K52"/>
    <mergeCell ref="D50:D52"/>
    <mergeCell ref="E50:I50"/>
    <mergeCell ref="E51:E52"/>
    <mergeCell ref="F51:F52"/>
    <mergeCell ref="G51:G52"/>
    <mergeCell ref="J37:J40"/>
    <mergeCell ref="K37:K40"/>
    <mergeCell ref="D38:D40"/>
    <mergeCell ref="E38:I38"/>
    <mergeCell ref="E39:E40"/>
    <mergeCell ref="F39:F40"/>
    <mergeCell ref="G39:G40"/>
    <mergeCell ref="H39:I39"/>
    <mergeCell ref="H51:I51"/>
    <mergeCell ref="L15:L16"/>
    <mergeCell ref="M15:M16"/>
    <mergeCell ref="N15:N16"/>
    <mergeCell ref="B25:B28"/>
    <mergeCell ref="C25:C28"/>
    <mergeCell ref="D25:I25"/>
    <mergeCell ref="J25:J28"/>
    <mergeCell ref="K25:K28"/>
    <mergeCell ref="D26:D28"/>
    <mergeCell ref="E15:E16"/>
    <mergeCell ref="F15:F16"/>
    <mergeCell ref="G15:G16"/>
    <mergeCell ref="H15:H16"/>
    <mergeCell ref="I15:I16"/>
    <mergeCell ref="J15:J16"/>
    <mergeCell ref="B11:B16"/>
    <mergeCell ref="C11:N11"/>
    <mergeCell ref="C12:E14"/>
    <mergeCell ref="F12:N12"/>
    <mergeCell ref="F13:K13"/>
    <mergeCell ref="L13:N14"/>
    <mergeCell ref="F14:H14"/>
    <mergeCell ref="I14:K14"/>
    <mergeCell ref="C15:C16"/>
    <mergeCell ref="D129:F129"/>
    <mergeCell ref="G129:I129"/>
    <mergeCell ref="D130:D131"/>
    <mergeCell ref="E130:E131"/>
    <mergeCell ref="F130:F131"/>
    <mergeCell ref="G130:G131"/>
    <mergeCell ref="H130:H131"/>
    <mergeCell ref="I130:I131"/>
    <mergeCell ref="B3:C3"/>
    <mergeCell ref="D3:I3"/>
    <mergeCell ref="C4:I4"/>
    <mergeCell ref="C6:I6"/>
    <mergeCell ref="C7:I7"/>
    <mergeCell ref="E26:I26"/>
    <mergeCell ref="E27:E28"/>
    <mergeCell ref="F27:F28"/>
    <mergeCell ref="G27:G28"/>
    <mergeCell ref="H27:I27"/>
    <mergeCell ref="B37:B40"/>
    <mergeCell ref="C37:C40"/>
    <mergeCell ref="D37:I37"/>
    <mergeCell ref="B74:B77"/>
    <mergeCell ref="C74:C77"/>
    <mergeCell ref="D74:I74"/>
  </mergeCells>
  <pageMargins left="0.19685039370078741" right="0.19685039370078741" top="0.19685039370078741" bottom="0.19685039370078741" header="0" footer="0"/>
  <pageSetup paperSize="9" scale="62" fitToHeight="0" orientation="landscape" r:id="rId1"/>
  <rowBreaks count="4" manualBreakCount="4">
    <brk id="47" max="13" man="1"/>
    <brk id="107" max="13" man="1"/>
    <brk id="127" max="13" man="1"/>
    <brk id="146"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12</vt:i4>
      </vt:variant>
    </vt:vector>
  </HeadingPairs>
  <TitlesOfParts>
    <vt:vector size="23" baseType="lpstr">
      <vt:lpstr>Бланк 2455 (ред.от 29.06.23)</vt:lpstr>
      <vt:lpstr>Форма</vt:lpstr>
      <vt:lpstr>Утверждено (МЗ,ИЦ,КАП)</vt:lpstr>
      <vt:lpstr>Утверждено (ПДД)</vt:lpstr>
      <vt:lpstr>Закупки1</vt:lpstr>
      <vt:lpstr>таблица к разделу 2</vt:lpstr>
      <vt:lpstr>Приложение 1</vt:lpstr>
      <vt:lpstr>Приложение 2 Доходы</vt:lpstr>
      <vt:lpstr>Приложение 3 111,119</vt:lpstr>
      <vt:lpstr>Приложение 4,5,6 расходы</vt:lpstr>
      <vt:lpstr>Приложение 7 </vt:lpstr>
      <vt:lpstr>'Приложение 4,5,6 расходы'!Заголовки_для_печати</vt:lpstr>
      <vt:lpstr>'Утверждено (МЗ,ИЦ,КАП)'!Заголовки_для_печати</vt:lpstr>
      <vt:lpstr>'Утверждено (ПДД)'!Заголовки_для_печати</vt:lpstr>
      <vt:lpstr>'Бланк 2455 (ред.от 29.06.23)'!Область_печати</vt:lpstr>
      <vt:lpstr>'Приложение 1'!Область_печати</vt:lpstr>
      <vt:lpstr>'Приложение 2 Доходы'!Область_печати</vt:lpstr>
      <vt:lpstr>'Приложение 3 111,119'!Область_печати</vt:lpstr>
      <vt:lpstr>'Приложение 4,5,6 расходы'!Область_печати</vt:lpstr>
      <vt:lpstr>'Приложение 7 '!Область_печати</vt:lpstr>
      <vt:lpstr>'Утверждено (МЗ,ИЦ,КАП)'!Область_печати</vt:lpstr>
      <vt:lpstr>'Утверждено (ПДД)'!Область_печати</vt:lpstr>
      <vt:lpstr>Форма!Область_печати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Елена Владимировна Жилина</dc:creator>
  <cp:lastModifiedBy>Светлана Алексеевна Воробьева</cp:lastModifiedBy>
  <cp:lastPrinted>2024-10-25T07:24:47Z</cp:lastPrinted>
  <dcterms:created xsi:type="dcterms:W3CDTF">2020-01-03T01:02:37Z</dcterms:created>
  <dcterms:modified xsi:type="dcterms:W3CDTF">2024-10-25T07:47:51Z</dcterms:modified>
</cp:coreProperties>
</file>